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willmore\Desktop\"/>
    </mc:Choice>
  </mc:AlternateContent>
  <bookViews>
    <workbookView xWindow="0" yWindow="0" windowWidth="20490" windowHeight="7755"/>
  </bookViews>
  <sheets>
    <sheet name="Hoja1" sheetId="1" r:id="rId1"/>
  </sheets>
  <externalReferences>
    <externalReference r:id="rId2"/>
  </externalReferences>
  <definedNames>
    <definedName name="_xlnm.Print_Area" localSheetId="0">Hoja1!$A$1:$F$479</definedName>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[1]UNSPSC!$A$1:$A$18298</definedName>
    <definedName name="UNSPSCDes">[1]UNSPSC!$B$1:$B$18298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8" i="1" l="1"/>
  <c r="C475" i="1"/>
  <c r="C473" i="1"/>
  <c r="C467" i="1"/>
  <c r="C466" i="1"/>
  <c r="C465" i="1"/>
  <c r="C462" i="1"/>
  <c r="C460" i="1"/>
  <c r="C454" i="1"/>
  <c r="C451" i="1"/>
  <c r="C449" i="1"/>
  <c r="C443" i="1"/>
  <c r="C440" i="1"/>
  <c r="C438" i="1"/>
  <c r="C432" i="1"/>
  <c r="C431" i="1"/>
  <c r="C430" i="1"/>
  <c r="C429" i="1"/>
  <c r="C428" i="1"/>
  <c r="C427" i="1"/>
  <c r="C426" i="1"/>
  <c r="C425" i="1"/>
  <c r="C424" i="1"/>
  <c r="C423" i="1"/>
  <c r="C420" i="1"/>
  <c r="C418" i="1"/>
  <c r="C412" i="1"/>
  <c r="C411" i="1"/>
  <c r="C410" i="1"/>
  <c r="C407" i="1"/>
  <c r="C405" i="1"/>
  <c r="C399" i="1"/>
  <c r="C398" i="1"/>
  <c r="C395" i="1"/>
  <c r="C393" i="1"/>
  <c r="C387" i="1"/>
  <c r="C384" i="1"/>
  <c r="C382" i="1"/>
  <c r="C376" i="1"/>
  <c r="C373" i="1"/>
  <c r="C371" i="1"/>
  <c r="C365" i="1"/>
  <c r="C362" i="1"/>
  <c r="C360" i="1"/>
  <c r="C354" i="1"/>
  <c r="C351" i="1"/>
  <c r="C349" i="1"/>
  <c r="C343" i="1"/>
  <c r="C342" i="1"/>
  <c r="C341" i="1"/>
  <c r="C338" i="1"/>
  <c r="C336" i="1"/>
  <c r="C330" i="1"/>
  <c r="C329" i="1"/>
  <c r="C326" i="1"/>
  <c r="C324" i="1"/>
  <c r="C318" i="1"/>
  <c r="C317" i="1"/>
  <c r="C314" i="1"/>
  <c r="C312" i="1"/>
  <c r="C306" i="1"/>
  <c r="C305" i="1"/>
  <c r="C304" i="1"/>
  <c r="C301" i="1"/>
  <c r="C299" i="1"/>
  <c r="C293" i="1"/>
  <c r="C290" i="1"/>
  <c r="C288" i="1"/>
  <c r="C282" i="1"/>
  <c r="C279" i="1"/>
  <c r="C277" i="1"/>
  <c r="C271" i="1"/>
  <c r="C270" i="1"/>
  <c r="C269" i="1"/>
  <c r="C266" i="1"/>
  <c r="C264" i="1"/>
  <c r="C258" i="1"/>
  <c r="C257" i="1"/>
  <c r="C256" i="1"/>
  <c r="C255" i="1"/>
  <c r="C254" i="1"/>
  <c r="C253" i="1"/>
  <c r="C252" i="1"/>
  <c r="C251" i="1"/>
  <c r="C248" i="1"/>
  <c r="C246" i="1"/>
  <c r="C240" i="1"/>
  <c r="C239" i="1"/>
  <c r="C238" i="1"/>
  <c r="C235" i="1"/>
  <c r="C233" i="1"/>
  <c r="C227" i="1"/>
  <c r="C226" i="1"/>
  <c r="C225" i="1"/>
  <c r="C222" i="1"/>
  <c r="C220" i="1"/>
  <c r="C214" i="1"/>
  <c r="C213" i="1"/>
  <c r="C210" i="1"/>
  <c r="C208"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69" i="1"/>
  <c r="C167" i="1"/>
  <c r="C161" i="1"/>
  <c r="C160" i="1"/>
  <c r="C159" i="1"/>
  <c r="C158" i="1"/>
  <c r="C157" i="1"/>
  <c r="C156" i="1"/>
  <c r="C155" i="1"/>
  <c r="C154" i="1"/>
  <c r="C153" i="1"/>
  <c r="C152" i="1"/>
  <c r="C151" i="1"/>
  <c r="C150" i="1"/>
  <c r="C149" i="1"/>
  <c r="C148" i="1"/>
  <c r="C147" i="1"/>
  <c r="C146" i="1"/>
  <c r="C143" i="1"/>
  <c r="C141"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88" i="1"/>
  <c r="C86" i="1"/>
  <c r="C80" i="1"/>
  <c r="C77" i="1"/>
  <c r="C75" i="1"/>
  <c r="C69" i="1"/>
  <c r="C68" i="1"/>
  <c r="C65" i="1"/>
  <c r="C63" i="1"/>
  <c r="C57" i="1"/>
  <c r="C54" i="1"/>
  <c r="C52" i="1"/>
  <c r="C46" i="1"/>
  <c r="C43" i="1"/>
  <c r="C41" i="1"/>
  <c r="C35" i="1"/>
  <c r="C34" i="1"/>
  <c r="C31" i="1"/>
  <c r="C29" i="1"/>
  <c r="C23" i="1"/>
  <c r="C20" i="1"/>
  <c r="C18" i="1"/>
  <c r="B3" i="1"/>
  <c r="B427" i="1"/>
  <c r="B305" i="1"/>
  <c r="F238" i="1"/>
  <c r="B193" i="1"/>
  <c r="B177" i="1"/>
  <c r="F146" i="1"/>
  <c r="F121" i="1"/>
  <c r="F105" i="1"/>
  <c r="F443" i="1"/>
  <c r="B398" i="1"/>
  <c r="F304" i="1"/>
  <c r="F252" i="1"/>
  <c r="F192" i="1"/>
  <c r="F176" i="1"/>
  <c r="F151" i="1"/>
  <c r="F126" i="1"/>
  <c r="F110" i="1"/>
  <c r="F94" i="1"/>
  <c r="B129" i="1"/>
  <c r="F107" i="1"/>
  <c r="F431" i="1"/>
  <c r="B342" i="1"/>
  <c r="F240" i="1"/>
  <c r="B195" i="1"/>
  <c r="B179" i="1"/>
  <c r="F148" i="1"/>
  <c r="B105" i="1"/>
  <c r="F23" i="1"/>
  <c r="F428" i="1"/>
  <c r="B365" i="1"/>
  <c r="B304" i="1"/>
  <c r="B252" i="1"/>
  <c r="F194" i="1"/>
  <c r="F178" i="1"/>
  <c r="F153" i="1"/>
  <c r="B126" i="1"/>
  <c r="B110" i="1"/>
  <c r="B94" i="1"/>
  <c r="F425" i="1"/>
  <c r="B318" i="1"/>
  <c r="F225" i="1"/>
  <c r="F191" i="1"/>
  <c r="F175" i="1"/>
  <c r="F150" i="1"/>
  <c r="F125" i="1"/>
  <c r="F109" i="1"/>
  <c r="F93" i="1"/>
  <c r="F430" i="1"/>
  <c r="B376" i="1"/>
  <c r="B306" i="1"/>
  <c r="B254" i="1"/>
  <c r="F196" i="1"/>
  <c r="F180" i="1"/>
  <c r="F155" i="1"/>
  <c r="B128" i="1"/>
  <c r="B112" i="1"/>
  <c r="B96" i="1"/>
  <c r="F427" i="1"/>
  <c r="B329" i="1"/>
  <c r="B251" i="1"/>
  <c r="B199" i="1"/>
  <c r="B183" i="1"/>
  <c r="B158" i="1"/>
  <c r="B133" i="1"/>
  <c r="B117" i="1"/>
  <c r="B101" i="1"/>
  <c r="F34" i="1"/>
  <c r="F467" i="1"/>
  <c r="F424" i="1"/>
  <c r="B343" i="1"/>
  <c r="F258" i="1"/>
  <c r="F198" i="1"/>
  <c r="F182" i="1"/>
  <c r="F157" i="1"/>
  <c r="F132" i="1"/>
  <c r="F116" i="1"/>
  <c r="F100" i="1"/>
  <c r="B46" i="1"/>
  <c r="B130" i="1"/>
  <c r="F80" i="1"/>
  <c r="F195" i="1"/>
  <c r="F330" i="1"/>
  <c r="B182" i="1"/>
  <c r="B116" i="1"/>
  <c r="B113" i="1"/>
  <c r="F197" i="1"/>
  <c r="F123" i="1"/>
  <c r="B443" i="1"/>
  <c r="B184" i="1"/>
  <c r="F112" i="1"/>
  <c r="F329" i="1"/>
  <c r="B181" i="1"/>
  <c r="B115" i="1"/>
  <c r="F387" i="1"/>
  <c r="B202" i="1"/>
  <c r="F130" i="1"/>
  <c r="B34" i="1"/>
  <c r="F185" i="1"/>
  <c r="F103" i="1"/>
  <c r="B430" i="1"/>
  <c r="B213" i="1"/>
  <c r="B122" i="1"/>
  <c r="F412" i="1"/>
  <c r="B270" i="1"/>
  <c r="B227" i="1"/>
  <c r="F187" i="1"/>
  <c r="B160" i="1"/>
  <c r="B135" i="1"/>
  <c r="B119" i="1"/>
  <c r="B103" i="1"/>
  <c r="B432" i="1"/>
  <c r="F365" i="1"/>
  <c r="B293" i="1"/>
  <c r="F226" i="1"/>
  <c r="B190" i="1"/>
  <c r="B174" i="1"/>
  <c r="B149" i="1"/>
  <c r="B124" i="1"/>
  <c r="B108" i="1"/>
  <c r="B92" i="1"/>
  <c r="B121" i="1"/>
  <c r="F91" i="1"/>
  <c r="B429" i="1"/>
  <c r="F318" i="1"/>
  <c r="B238" i="1"/>
  <c r="F189" i="1"/>
  <c r="F173" i="1"/>
  <c r="B146" i="1"/>
  <c r="F99" i="1"/>
  <c r="B478" i="1"/>
  <c r="B426" i="1"/>
  <c r="F341" i="1"/>
  <c r="F271" i="1"/>
  <c r="B226" i="1"/>
  <c r="B192" i="1"/>
  <c r="B176" i="1"/>
  <c r="B151" i="1"/>
  <c r="F120" i="1"/>
  <c r="F104" i="1"/>
  <c r="B68" i="1"/>
  <c r="B423" i="1"/>
  <c r="B257" i="1"/>
  <c r="B214" i="1"/>
  <c r="B189" i="1"/>
  <c r="B173" i="1"/>
  <c r="B148" i="1"/>
  <c r="B123" i="1"/>
  <c r="B107" i="1"/>
  <c r="B91" i="1"/>
  <c r="B428" i="1"/>
  <c r="F343" i="1"/>
  <c r="F282" i="1"/>
  <c r="F239" i="1"/>
  <c r="B194" i="1"/>
  <c r="B178" i="1"/>
  <c r="B153" i="1"/>
  <c r="F122" i="1"/>
  <c r="F106" i="1"/>
  <c r="F46" i="1"/>
  <c r="B425" i="1"/>
  <c r="F305" i="1"/>
  <c r="F227" i="1"/>
  <c r="F193" i="1"/>
  <c r="F177" i="1"/>
  <c r="F152" i="1"/>
  <c r="F127" i="1"/>
  <c r="F111" i="1"/>
  <c r="F95" i="1"/>
  <c r="B23" i="1"/>
  <c r="B465" i="1"/>
  <c r="F398" i="1"/>
  <c r="B317" i="1"/>
  <c r="B256" i="1"/>
  <c r="B196" i="1"/>
  <c r="B180" i="1"/>
  <c r="B155" i="1"/>
  <c r="B114" i="1"/>
  <c r="B98" i="1"/>
  <c r="F179" i="1"/>
  <c r="B111" i="1"/>
  <c r="B424" i="1"/>
  <c r="B198" i="1"/>
  <c r="B132" i="1"/>
  <c r="B57" i="1"/>
  <c r="B412" i="1"/>
  <c r="F181" i="1"/>
  <c r="F35" i="1"/>
  <c r="F376" i="1"/>
  <c r="F254" i="1"/>
  <c r="B159" i="1"/>
  <c r="F96" i="1"/>
  <c r="B240" i="1"/>
  <c r="B156" i="1"/>
  <c r="B99" i="1"/>
  <c r="F317" i="1"/>
  <c r="B186" i="1"/>
  <c r="F114" i="1"/>
  <c r="B399" i="1"/>
  <c r="F160" i="1"/>
  <c r="F119" i="1"/>
  <c r="B95" i="1"/>
  <c r="B282" i="1"/>
  <c r="B172" i="1"/>
  <c r="B106" i="1"/>
  <c r="B410" i="1"/>
  <c r="F255" i="1"/>
  <c r="B201" i="1"/>
  <c r="B185" i="1"/>
  <c r="F154" i="1"/>
  <c r="F129" i="1"/>
  <c r="F113" i="1"/>
  <c r="F478" i="1"/>
  <c r="F426" i="1"/>
  <c r="B354" i="1"/>
  <c r="F269" i="1"/>
  <c r="F200" i="1"/>
  <c r="F184" i="1"/>
  <c r="F159" i="1"/>
  <c r="F134" i="1"/>
  <c r="F118" i="1"/>
  <c r="F102" i="1"/>
  <c r="F68" i="1"/>
  <c r="F115" i="1"/>
  <c r="B80" i="1"/>
  <c r="F423" i="1"/>
  <c r="F257" i="1"/>
  <c r="F214" i="1"/>
  <c r="B187" i="1"/>
  <c r="F156" i="1"/>
  <c r="F131" i="1"/>
  <c r="B97" i="1"/>
  <c r="F454" i="1"/>
  <c r="F411" i="1"/>
  <c r="B330" i="1"/>
  <c r="B269" i="1"/>
  <c r="F202" i="1"/>
  <c r="F186" i="1"/>
  <c r="F161" i="1"/>
  <c r="B134" i="1"/>
  <c r="B118" i="1"/>
  <c r="B102" i="1"/>
  <c r="B466" i="1"/>
  <c r="F399" i="1"/>
  <c r="F251" i="1"/>
  <c r="F199" i="1"/>
  <c r="F183" i="1"/>
  <c r="F158" i="1"/>
  <c r="F133" i="1"/>
  <c r="F117" i="1"/>
  <c r="F101" i="1"/>
  <c r="F465" i="1"/>
  <c r="B411" i="1"/>
  <c r="B341" i="1"/>
  <c r="B271" i="1"/>
  <c r="F213" i="1"/>
  <c r="F188" i="1"/>
  <c r="F172" i="1"/>
  <c r="F147" i="1"/>
  <c r="B120" i="1"/>
  <c r="B104" i="1"/>
  <c r="B35" i="1"/>
  <c r="F410" i="1"/>
  <c r="F270" i="1"/>
  <c r="B225" i="1"/>
  <c r="B191" i="1"/>
  <c r="B175" i="1"/>
  <c r="B150" i="1"/>
  <c r="B125" i="1"/>
  <c r="B109" i="1"/>
  <c r="B93" i="1"/>
  <c r="F97" i="1"/>
  <c r="F432" i="1"/>
  <c r="B387" i="1"/>
  <c r="F293" i="1"/>
  <c r="B239" i="1"/>
  <c r="F190" i="1"/>
  <c r="F174" i="1"/>
  <c r="F149" i="1"/>
  <c r="F124" i="1"/>
  <c r="F108" i="1"/>
  <c r="F92" i="1"/>
  <c r="B69" i="1"/>
  <c r="F429" i="1"/>
  <c r="F342" i="1"/>
  <c r="B253" i="1"/>
  <c r="B152" i="1"/>
  <c r="B127" i="1"/>
  <c r="B467" i="1"/>
  <c r="B258" i="1"/>
  <c r="B157" i="1"/>
  <c r="B100" i="1"/>
  <c r="F466" i="1"/>
  <c r="B255" i="1"/>
  <c r="B154" i="1"/>
  <c r="F306" i="1"/>
  <c r="B200" i="1"/>
  <c r="F128" i="1"/>
  <c r="B431" i="1"/>
  <c r="B197" i="1"/>
  <c r="B131" i="1"/>
  <c r="B454" i="1"/>
  <c r="F256" i="1"/>
  <c r="B161" i="1"/>
  <c r="F98" i="1"/>
  <c r="F253" i="1"/>
  <c r="F201" i="1"/>
  <c r="F135" i="1"/>
  <c r="F69" i="1"/>
  <c r="F354" i="1"/>
  <c r="B188" i="1"/>
  <c r="B147" i="1"/>
  <c r="F57" i="1"/>
  <c r="F81" i="1" l="1"/>
  <c r="F58" i="1"/>
  <c r="F294" i="1"/>
  <c r="F355" i="1"/>
  <c r="F400" i="1"/>
  <c r="F36" i="1"/>
  <c r="F413" i="1"/>
  <c r="F47" i="1"/>
  <c r="F203" i="1"/>
  <c r="F215" i="1"/>
  <c r="F283" i="1"/>
  <c r="F319" i="1"/>
  <c r="F388" i="1"/>
  <c r="F468" i="1"/>
  <c r="F228" i="1"/>
  <c r="F259" i="1"/>
  <c r="F331" i="1"/>
  <c r="F344" i="1"/>
  <c r="F377" i="1"/>
  <c r="F455" i="1"/>
  <c r="F24" i="1"/>
  <c r="F433" i="1"/>
  <c r="F136" i="1"/>
  <c r="F70" i="1"/>
  <c r="F272" i="1"/>
  <c r="F307" i="1"/>
  <c r="F366" i="1"/>
  <c r="F444" i="1"/>
  <c r="F479" i="1"/>
  <c r="F162" i="1"/>
  <c r="F241" i="1"/>
  <c r="B9" i="1" l="1"/>
  <c r="B10" i="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7" authorId="1" shapeId="0">
      <text>
        <r>
          <rPr>
            <sz val="11"/>
            <color theme="1"/>
            <rFont val="Calibri"/>
            <family val="2"/>
            <scheme val="minor"/>
          </rPr>
          <t>Introducir un texto con el nombre o referencia de la contratación</t>
        </r>
      </text>
    </comment>
    <comment ref="B27" authorId="1" shapeId="0">
      <text>
        <r>
          <rPr>
            <sz val="11"/>
            <color theme="1"/>
            <rFont val="Calibri"/>
            <family val="2"/>
            <scheme val="minor"/>
          </rPr>
          <t>Introduzca un texto con la finalidad de la contratación</t>
        </r>
      </text>
    </comment>
    <comment ref="C27" authorId="1" shapeId="0">
      <text>
        <r>
          <rPr>
            <sz val="11"/>
            <color theme="1"/>
            <rFont val="Calibri"/>
            <family val="2"/>
            <scheme val="minor"/>
          </rPr>
          <t>Seleccionar un valor del listado</t>
        </r>
      </text>
    </comment>
    <comment ref="D27" authorId="1" shapeId="0">
      <text>
        <r>
          <rPr>
            <sz val="11"/>
            <color theme="1"/>
            <rFont val="Calibri"/>
            <family val="2"/>
            <scheme val="minor"/>
          </rPr>
          <t>Seleccione el tipo de procedimiento</t>
        </r>
      </text>
    </comment>
    <comment ref="E27" authorId="1" shapeId="0">
      <text>
        <r>
          <rPr>
            <sz val="11"/>
            <color theme="1"/>
            <rFont val="Calibri"/>
            <family val="2"/>
            <scheme val="minor"/>
          </rPr>
          <t>Seleccione un valor de la lista</t>
        </r>
      </text>
    </comment>
    <comment ref="F27" authorId="1" shapeId="0">
      <text>
        <r>
          <rPr>
            <sz val="11"/>
            <color theme="1"/>
            <rFont val="Calibri"/>
            <family val="2"/>
            <scheme val="minor"/>
          </rPr>
          <t>Introduzca el código SNIP</t>
        </r>
      </text>
    </comment>
    <comment ref="C28" authorId="1" shapeId="0">
      <text>
        <r>
          <rPr>
            <sz val="11"/>
            <color theme="1"/>
            <rFont val="Calibri"/>
            <family val="2"/>
            <scheme val="minor"/>
          </rPr>
          <t>Introduzca la fecha de inicio del proceso, en formato dd-mm-aaaa</t>
        </r>
      </text>
    </comment>
    <comment ref="F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text/>
    </comment>
    <comment ref="C30" authorId="1" shapeId="0">
      <text>
        <r>
          <rPr>
            <sz val="11"/>
            <color theme="1"/>
            <rFont val="Calibri"/>
            <family val="2"/>
            <scheme val="minor"/>
          </rPr>
          <t>Introduzca la fecha prevista de adjudicación, en formato dd-mm-aaaa</t>
        </r>
      </text>
    </comment>
    <comment ref="F30" authorId="1" shapeId="0">
      <text/>
    </comment>
    <comment ref="F31" authorId="1" shapeId="0">
      <text/>
    </comment>
    <comment ref="A33" authorId="1" shapeId="0">
      <text>
        <r>
          <rPr>
            <sz val="11"/>
            <color theme="1"/>
            <rFont val="Calibri"/>
            <family val="2"/>
            <scheme val="minor"/>
          </rPr>
          <t>Introduzca un codigo UNSPSC</t>
        </r>
      </text>
    </comment>
    <comment ref="B33" authorId="1" shapeId="0">
      <text>
        <r>
          <rPr>
            <sz val="11"/>
            <color theme="1"/>
            <rFont val="Calibri"/>
            <family val="2"/>
            <scheme val="minor"/>
          </rPr>
          <t>Descripción calculada automáticamente a partir de código del artículo</t>
        </r>
      </text>
    </comment>
    <comment ref="C33" authorId="1" shapeId="0">
      <text>
        <r>
          <rPr>
            <sz val="11"/>
            <color theme="1"/>
            <rFont val="Calibri"/>
            <family val="2"/>
            <scheme val="minor"/>
          </rPr>
          <t>Seleccione un valor de la lista</t>
        </r>
      </text>
    </comment>
    <comment ref="D33" authorId="1" shapeId="0">
      <text>
        <r>
          <rPr>
            <sz val="11"/>
            <color theme="1"/>
            <rFont val="Calibri"/>
            <family val="2"/>
            <scheme val="minor"/>
          </rPr>
          <t>Introduzca un número con dos decimales como máximo. Debe ser igual o mayor a la "Cantidad Real Consumida"</t>
        </r>
      </text>
    </comment>
    <comment ref="E33" authorId="1" shapeId="0">
      <text>
        <r>
          <rPr>
            <sz val="11"/>
            <color theme="1"/>
            <rFont val="Calibri"/>
            <family val="2"/>
            <scheme val="minor"/>
          </rPr>
          <t>Introduzca un número con dos decimales como máximo</t>
        </r>
      </text>
    </comment>
    <comment ref="F33" authorId="1" shapeId="0">
      <text>
        <r>
          <rPr>
            <sz val="11"/>
            <color theme="1"/>
            <rFont val="Calibri"/>
            <family val="2"/>
            <scheme val="minor"/>
          </rPr>
          <t>Monto calculado automáticamente por el sistema</t>
        </r>
      </text>
    </comment>
    <comment ref="A39" authorId="1" shapeId="0">
      <text>
        <r>
          <rPr>
            <sz val="11"/>
            <color theme="1"/>
            <rFont val="Calibri"/>
            <family val="2"/>
            <scheme val="minor"/>
          </rPr>
          <t>Introducir un texto con el nombre o referencia de la contratación</t>
        </r>
      </text>
    </comment>
    <comment ref="B39" authorId="1" shapeId="0">
      <text>
        <r>
          <rPr>
            <sz val="11"/>
            <color theme="1"/>
            <rFont val="Calibri"/>
            <family val="2"/>
            <scheme val="minor"/>
          </rPr>
          <t>Introduzca un texto con la finalidad de la contratación</t>
        </r>
      </text>
    </comment>
    <comment ref="C39" authorId="1" shapeId="0">
      <text>
        <r>
          <rPr>
            <sz val="11"/>
            <color theme="1"/>
            <rFont val="Calibri"/>
            <family val="2"/>
            <scheme val="minor"/>
          </rPr>
          <t>Seleccionar un valor del listado</t>
        </r>
      </text>
    </comment>
    <comment ref="D39" authorId="1" shapeId="0">
      <text>
        <r>
          <rPr>
            <sz val="11"/>
            <color theme="1"/>
            <rFont val="Calibri"/>
            <family val="2"/>
            <scheme val="minor"/>
          </rPr>
          <t>Seleccione el tipo de procedimiento</t>
        </r>
      </text>
    </comment>
    <comment ref="E39" authorId="1" shapeId="0">
      <text>
        <r>
          <rPr>
            <sz val="11"/>
            <color theme="1"/>
            <rFont val="Calibri"/>
            <family val="2"/>
            <scheme val="minor"/>
          </rPr>
          <t>Seleccione un valor de la lista</t>
        </r>
      </text>
    </comment>
    <comment ref="F39" authorId="1" shapeId="0">
      <text>
        <r>
          <rPr>
            <sz val="11"/>
            <color theme="1"/>
            <rFont val="Calibri"/>
            <family val="2"/>
            <scheme val="minor"/>
          </rPr>
          <t>Introduzca el código SNIP</t>
        </r>
      </text>
    </comment>
    <comment ref="C40" authorId="1" shapeId="0">
      <text>
        <r>
          <rPr>
            <sz val="11"/>
            <color theme="1"/>
            <rFont val="Calibri"/>
            <family val="2"/>
            <scheme val="minor"/>
          </rPr>
          <t>Introduzca la fecha de inicio del proceso, en formato dd-mm-aaaa</t>
        </r>
      </text>
    </comment>
    <comment ref="F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 authorId="1" shapeId="0">
      <text/>
    </comment>
    <comment ref="C42" authorId="1" shapeId="0">
      <text>
        <r>
          <rPr>
            <sz val="11"/>
            <color theme="1"/>
            <rFont val="Calibri"/>
            <family val="2"/>
            <scheme val="minor"/>
          </rPr>
          <t>Introduzca la fecha prevista de adjudicación, en formato dd-mm-aaaa</t>
        </r>
      </text>
    </comment>
    <comment ref="F42" authorId="1" shapeId="0">
      <text/>
    </comment>
    <comment ref="F43" authorId="1" shapeId="0">
      <text/>
    </comment>
    <comment ref="A45" authorId="1" shapeId="0">
      <text>
        <r>
          <rPr>
            <sz val="11"/>
            <color theme="1"/>
            <rFont val="Calibri"/>
            <family val="2"/>
            <scheme val="minor"/>
          </rPr>
          <t>Introduzca un codigo UNSPSC</t>
        </r>
      </text>
    </comment>
    <comment ref="B45" authorId="1" shapeId="0">
      <text>
        <r>
          <rPr>
            <sz val="11"/>
            <color theme="1"/>
            <rFont val="Calibri"/>
            <family val="2"/>
            <scheme val="minor"/>
          </rPr>
          <t>Descripción calculada automáticamente a partir de código del artículo</t>
        </r>
      </text>
    </comment>
    <comment ref="C45" authorId="1" shapeId="0">
      <text>
        <r>
          <rPr>
            <sz val="11"/>
            <color theme="1"/>
            <rFont val="Calibri"/>
            <family val="2"/>
            <scheme val="minor"/>
          </rPr>
          <t>Seleccione un valor de la lista</t>
        </r>
      </text>
    </comment>
    <comment ref="D45" authorId="1" shapeId="0">
      <text>
        <r>
          <rPr>
            <sz val="11"/>
            <color theme="1"/>
            <rFont val="Calibri"/>
            <family val="2"/>
            <scheme val="minor"/>
          </rPr>
          <t>Introduzca un número con dos decimales como máximo. Debe ser igual o mayor a la "Cantidad Real Consumida"</t>
        </r>
      </text>
    </comment>
    <comment ref="E45" authorId="1" shapeId="0">
      <text>
        <r>
          <rPr>
            <sz val="11"/>
            <color theme="1"/>
            <rFont val="Calibri"/>
            <family val="2"/>
            <scheme val="minor"/>
          </rPr>
          <t>Introduzca un número con dos decimales como máximo</t>
        </r>
      </text>
    </comment>
    <comment ref="F45" authorId="1" shapeId="0">
      <text>
        <r>
          <rPr>
            <sz val="11"/>
            <color theme="1"/>
            <rFont val="Calibri"/>
            <family val="2"/>
            <scheme val="minor"/>
          </rPr>
          <t>Monto calculado automáticamente por el sistema</t>
        </r>
      </text>
    </comment>
    <comment ref="A50" authorId="1" shapeId="0">
      <text>
        <r>
          <rPr>
            <sz val="11"/>
            <color theme="1"/>
            <rFont val="Calibri"/>
            <family val="2"/>
            <scheme val="minor"/>
          </rPr>
          <t>Introducir un texto con el nombre o referencia de la contratación</t>
        </r>
      </text>
    </comment>
    <comment ref="B50" authorId="1" shapeId="0">
      <text>
        <r>
          <rPr>
            <sz val="11"/>
            <color theme="1"/>
            <rFont val="Calibri"/>
            <family val="2"/>
            <scheme val="minor"/>
          </rPr>
          <t>Introduzca un texto con la finalidad de la contratación</t>
        </r>
      </text>
    </comment>
    <comment ref="C50" authorId="1" shapeId="0">
      <text>
        <r>
          <rPr>
            <sz val="11"/>
            <color theme="1"/>
            <rFont val="Calibri"/>
            <family val="2"/>
            <scheme val="minor"/>
          </rPr>
          <t>Seleccionar un valor del listado</t>
        </r>
      </text>
    </comment>
    <comment ref="D50" authorId="1" shapeId="0">
      <text>
        <r>
          <rPr>
            <sz val="11"/>
            <color theme="1"/>
            <rFont val="Calibri"/>
            <family val="2"/>
            <scheme val="minor"/>
          </rPr>
          <t>Seleccione el tipo de procedimiento</t>
        </r>
      </text>
    </comment>
    <comment ref="E50" authorId="1" shapeId="0">
      <text>
        <r>
          <rPr>
            <sz val="11"/>
            <color theme="1"/>
            <rFont val="Calibri"/>
            <family val="2"/>
            <scheme val="minor"/>
          </rPr>
          <t>Seleccione un valor de la lista</t>
        </r>
      </text>
    </comment>
    <comment ref="F50" authorId="1" shapeId="0">
      <text>
        <r>
          <rPr>
            <sz val="11"/>
            <color theme="1"/>
            <rFont val="Calibri"/>
            <family val="2"/>
            <scheme val="minor"/>
          </rPr>
          <t>Introduzca el código SNIP</t>
        </r>
      </text>
    </comment>
    <comment ref="C51" authorId="1" shapeId="0">
      <text>
        <r>
          <rPr>
            <sz val="11"/>
            <color theme="1"/>
            <rFont val="Calibri"/>
            <family val="2"/>
            <scheme val="minor"/>
          </rPr>
          <t>Introduzca la fecha de inicio del proceso, en formato dd-mm-aaaa</t>
        </r>
      </text>
    </comment>
    <comment ref="F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 authorId="1" shapeId="0">
      <text/>
    </comment>
    <comment ref="C53" authorId="1" shapeId="0">
      <text>
        <r>
          <rPr>
            <sz val="11"/>
            <color theme="1"/>
            <rFont val="Calibri"/>
            <family val="2"/>
            <scheme val="minor"/>
          </rPr>
          <t>Introduzca la fecha prevista de adjudicación, en formato dd-mm-aaaa</t>
        </r>
      </text>
    </comment>
    <comment ref="F53" authorId="1" shapeId="0">
      <text/>
    </comment>
    <comment ref="F54" authorId="1" shapeId="0">
      <text/>
    </comment>
    <comment ref="A56" authorId="1" shapeId="0">
      <text>
        <r>
          <rPr>
            <sz val="11"/>
            <color theme="1"/>
            <rFont val="Calibri"/>
            <family val="2"/>
            <scheme val="minor"/>
          </rPr>
          <t>Introduzca un codigo UNSPSC</t>
        </r>
      </text>
    </comment>
    <comment ref="B56" authorId="1" shapeId="0">
      <text>
        <r>
          <rPr>
            <sz val="11"/>
            <color theme="1"/>
            <rFont val="Calibri"/>
            <family val="2"/>
            <scheme val="minor"/>
          </rPr>
          <t>Descripción calculada automáticamente a partir de código del artículo</t>
        </r>
      </text>
    </comment>
    <comment ref="C56" authorId="1" shapeId="0">
      <text>
        <r>
          <rPr>
            <sz val="11"/>
            <color theme="1"/>
            <rFont val="Calibri"/>
            <family val="2"/>
            <scheme val="minor"/>
          </rPr>
          <t>Seleccione un valor de la lista</t>
        </r>
      </text>
    </comment>
    <comment ref="D56" authorId="1" shapeId="0">
      <text>
        <r>
          <rPr>
            <sz val="11"/>
            <color theme="1"/>
            <rFont val="Calibri"/>
            <family val="2"/>
            <scheme val="minor"/>
          </rPr>
          <t>Introduzca un número con dos decimales como máximo. Debe ser igual o mayor a la "Cantidad Real Consumida"</t>
        </r>
      </text>
    </comment>
    <comment ref="E56" authorId="1" shapeId="0">
      <text>
        <r>
          <rPr>
            <sz val="11"/>
            <color theme="1"/>
            <rFont val="Calibri"/>
            <family val="2"/>
            <scheme val="minor"/>
          </rPr>
          <t>Introduzca un número con dos decimales como máximo</t>
        </r>
      </text>
    </comment>
    <comment ref="F56" authorId="1" shapeId="0">
      <text>
        <r>
          <rPr>
            <sz val="11"/>
            <color theme="1"/>
            <rFont val="Calibri"/>
            <family val="2"/>
            <scheme val="minor"/>
          </rPr>
          <t>Monto calculado automáticamente por el sistema</t>
        </r>
      </text>
    </comment>
    <comment ref="A61" authorId="1" shapeId="0">
      <text>
        <r>
          <rPr>
            <sz val="11"/>
            <color theme="1"/>
            <rFont val="Calibri"/>
            <family val="2"/>
            <scheme val="minor"/>
          </rPr>
          <t>Introducir un texto con el nombre o referencia de la contratación</t>
        </r>
      </text>
    </comment>
    <comment ref="B61" authorId="1" shapeId="0">
      <text>
        <r>
          <rPr>
            <sz val="11"/>
            <color theme="1"/>
            <rFont val="Calibri"/>
            <family val="2"/>
            <scheme val="minor"/>
          </rPr>
          <t>Introduzca un texto con la finalidad de la contratación</t>
        </r>
      </text>
    </comment>
    <comment ref="C61" authorId="1" shapeId="0">
      <text>
        <r>
          <rPr>
            <sz val="11"/>
            <color theme="1"/>
            <rFont val="Calibri"/>
            <family val="2"/>
            <scheme val="minor"/>
          </rPr>
          <t>Seleccionar un valor del listado</t>
        </r>
      </text>
    </comment>
    <comment ref="D61" authorId="1" shapeId="0">
      <text>
        <r>
          <rPr>
            <sz val="11"/>
            <color theme="1"/>
            <rFont val="Calibri"/>
            <family val="2"/>
            <scheme val="minor"/>
          </rPr>
          <t>Seleccione el tipo de procedimiento</t>
        </r>
      </text>
    </comment>
    <comment ref="E61" authorId="1" shapeId="0">
      <text>
        <r>
          <rPr>
            <sz val="11"/>
            <color theme="1"/>
            <rFont val="Calibri"/>
            <family val="2"/>
            <scheme val="minor"/>
          </rPr>
          <t>Seleccione un valor de la lista</t>
        </r>
      </text>
    </comment>
    <comment ref="F61" authorId="1" shapeId="0">
      <text>
        <r>
          <rPr>
            <sz val="11"/>
            <color theme="1"/>
            <rFont val="Calibri"/>
            <family val="2"/>
            <scheme val="minor"/>
          </rPr>
          <t>Introduzca el código SNIP</t>
        </r>
      </text>
    </comment>
    <comment ref="C62" authorId="1" shapeId="0">
      <text>
        <r>
          <rPr>
            <sz val="11"/>
            <color theme="1"/>
            <rFont val="Calibri"/>
            <family val="2"/>
            <scheme val="minor"/>
          </rPr>
          <t>Introduzca la fecha de inicio del proceso, en formato dd-mm-aaaa</t>
        </r>
      </text>
    </comment>
    <comment ref="F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 authorId="1" shapeId="0">
      <text/>
    </comment>
    <comment ref="C64" authorId="1" shapeId="0">
      <text>
        <r>
          <rPr>
            <sz val="11"/>
            <color theme="1"/>
            <rFont val="Calibri"/>
            <family val="2"/>
            <scheme val="minor"/>
          </rPr>
          <t>Introduzca la fecha prevista de adjudicación, en formato dd-mm-aaaa</t>
        </r>
      </text>
    </comment>
    <comment ref="F64" authorId="1" shapeId="0">
      <text/>
    </comment>
    <comment ref="F65" authorId="1" shapeId="0">
      <text/>
    </comment>
    <comment ref="A67" authorId="1" shapeId="0">
      <text>
        <r>
          <rPr>
            <sz val="11"/>
            <color theme="1"/>
            <rFont val="Calibri"/>
            <family val="2"/>
            <scheme val="minor"/>
          </rPr>
          <t>Introduzca un codigo UNSPSC</t>
        </r>
      </text>
    </comment>
    <comment ref="B67" authorId="1" shapeId="0">
      <text>
        <r>
          <rPr>
            <sz val="11"/>
            <color theme="1"/>
            <rFont val="Calibri"/>
            <family val="2"/>
            <scheme val="minor"/>
          </rPr>
          <t>Descripción calculada automáticamente a partir de código del artículo</t>
        </r>
      </text>
    </comment>
    <comment ref="C67" authorId="1" shapeId="0">
      <text>
        <r>
          <rPr>
            <sz val="11"/>
            <color theme="1"/>
            <rFont val="Calibri"/>
            <family val="2"/>
            <scheme val="minor"/>
          </rPr>
          <t>Seleccione un valor de la lista</t>
        </r>
      </text>
    </comment>
    <comment ref="D67" authorId="1" shapeId="0">
      <text>
        <r>
          <rPr>
            <sz val="11"/>
            <color theme="1"/>
            <rFont val="Calibri"/>
            <family val="2"/>
            <scheme val="minor"/>
          </rPr>
          <t>Introduzca un número con dos decimales como máximo. Debe ser igual o mayor a la "Cantidad Real Consumida"</t>
        </r>
      </text>
    </comment>
    <comment ref="E67" authorId="1" shapeId="0">
      <text>
        <r>
          <rPr>
            <sz val="11"/>
            <color theme="1"/>
            <rFont val="Calibri"/>
            <family val="2"/>
            <scheme val="minor"/>
          </rPr>
          <t>Introduzca un número con dos decimales como máximo</t>
        </r>
      </text>
    </comment>
    <comment ref="F67" authorId="1" shapeId="0">
      <text>
        <r>
          <rPr>
            <sz val="11"/>
            <color theme="1"/>
            <rFont val="Calibri"/>
            <family val="2"/>
            <scheme val="minor"/>
          </rPr>
          <t>Monto calculado automáticamente por el sistema</t>
        </r>
      </text>
    </comment>
    <comment ref="A73" authorId="1" shapeId="0">
      <text>
        <r>
          <rPr>
            <sz val="11"/>
            <color theme="1"/>
            <rFont val="Calibri"/>
            <family val="2"/>
            <scheme val="minor"/>
          </rPr>
          <t>Introducir un texto con el nombre o referencia de la contratación</t>
        </r>
      </text>
    </comment>
    <comment ref="B73" authorId="1" shapeId="0">
      <text>
        <r>
          <rPr>
            <sz val="11"/>
            <color theme="1"/>
            <rFont val="Calibri"/>
            <family val="2"/>
            <scheme val="minor"/>
          </rPr>
          <t>Introduzca un texto con la finalidad de la contratación</t>
        </r>
      </text>
    </comment>
    <comment ref="C73" authorId="1" shapeId="0">
      <text>
        <r>
          <rPr>
            <sz val="11"/>
            <color theme="1"/>
            <rFont val="Calibri"/>
            <family val="2"/>
            <scheme val="minor"/>
          </rPr>
          <t>Seleccionar un valor del listado</t>
        </r>
      </text>
    </comment>
    <comment ref="D73" authorId="1" shapeId="0">
      <text>
        <r>
          <rPr>
            <sz val="11"/>
            <color theme="1"/>
            <rFont val="Calibri"/>
            <family val="2"/>
            <scheme val="minor"/>
          </rPr>
          <t>Seleccione el tipo de procedimiento</t>
        </r>
      </text>
    </comment>
    <comment ref="E73" authorId="1" shapeId="0">
      <text>
        <r>
          <rPr>
            <sz val="11"/>
            <color theme="1"/>
            <rFont val="Calibri"/>
            <family val="2"/>
            <scheme val="minor"/>
          </rPr>
          <t>Seleccione un valor de la lista</t>
        </r>
      </text>
    </comment>
    <comment ref="F73" authorId="1" shapeId="0">
      <text>
        <r>
          <rPr>
            <sz val="11"/>
            <color theme="1"/>
            <rFont val="Calibri"/>
            <family val="2"/>
            <scheme val="minor"/>
          </rPr>
          <t>Introduzca el código SNIP</t>
        </r>
      </text>
    </comment>
    <comment ref="C74" authorId="1" shapeId="0">
      <text>
        <r>
          <rPr>
            <sz val="11"/>
            <color theme="1"/>
            <rFont val="Calibri"/>
            <family val="2"/>
            <scheme val="minor"/>
          </rPr>
          <t>Introduzca la fecha de inicio del proceso, en formato dd-mm-aaaa</t>
        </r>
      </text>
    </comment>
    <comment ref="F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 authorId="1" shapeId="0">
      <text/>
    </comment>
    <comment ref="C76" authorId="1" shapeId="0">
      <text>
        <r>
          <rPr>
            <sz val="11"/>
            <color theme="1"/>
            <rFont val="Calibri"/>
            <family val="2"/>
            <scheme val="minor"/>
          </rPr>
          <t>Introduzca la fecha prevista de adjudicación, en formato dd-mm-aaaa</t>
        </r>
      </text>
    </comment>
    <comment ref="F76" authorId="1" shapeId="0">
      <text/>
    </comment>
    <comment ref="F77" authorId="1" shapeId="0">
      <text/>
    </comment>
    <comment ref="A79" authorId="1" shapeId="0">
      <text>
        <r>
          <rPr>
            <sz val="11"/>
            <color theme="1"/>
            <rFont val="Calibri"/>
            <family val="2"/>
            <scheme val="minor"/>
          </rPr>
          <t>Introduzca un codigo UNSPSC</t>
        </r>
      </text>
    </comment>
    <comment ref="B79" authorId="1" shapeId="0">
      <text>
        <r>
          <rPr>
            <sz val="11"/>
            <color theme="1"/>
            <rFont val="Calibri"/>
            <family val="2"/>
            <scheme val="minor"/>
          </rPr>
          <t>Descripción calculada automáticamente a partir de código del artículo</t>
        </r>
      </text>
    </comment>
    <comment ref="C79" authorId="1" shapeId="0">
      <text>
        <r>
          <rPr>
            <sz val="11"/>
            <color theme="1"/>
            <rFont val="Calibri"/>
            <family val="2"/>
            <scheme val="minor"/>
          </rPr>
          <t>Seleccione un valor de la lista</t>
        </r>
      </text>
    </comment>
    <comment ref="D79" authorId="1" shapeId="0">
      <text>
        <r>
          <rPr>
            <sz val="11"/>
            <color theme="1"/>
            <rFont val="Calibri"/>
            <family val="2"/>
            <scheme val="minor"/>
          </rPr>
          <t>Introduzca un número con dos decimales como máximo. Debe ser igual o mayor a la "Cantidad Real Consumida"</t>
        </r>
      </text>
    </comment>
    <comment ref="E79" authorId="1" shapeId="0">
      <text>
        <r>
          <rPr>
            <sz val="11"/>
            <color theme="1"/>
            <rFont val="Calibri"/>
            <family val="2"/>
            <scheme val="minor"/>
          </rPr>
          <t>Introduzca un número con dos decimales como máximo</t>
        </r>
      </text>
    </comment>
    <comment ref="F79" authorId="1" shapeId="0">
      <text>
        <r>
          <rPr>
            <sz val="11"/>
            <color theme="1"/>
            <rFont val="Calibri"/>
            <family val="2"/>
            <scheme val="minor"/>
          </rPr>
          <t>Monto calculado automáticamente por el sistema</t>
        </r>
      </text>
    </comment>
    <comment ref="A84" authorId="1" shapeId="0">
      <text>
        <r>
          <rPr>
            <sz val="11"/>
            <color theme="1"/>
            <rFont val="Calibri"/>
            <family val="2"/>
            <scheme val="minor"/>
          </rPr>
          <t>Introducir un texto con el nombre o referencia de la contratación</t>
        </r>
      </text>
    </comment>
    <comment ref="B84" authorId="1" shapeId="0">
      <text>
        <r>
          <rPr>
            <sz val="11"/>
            <color theme="1"/>
            <rFont val="Calibri"/>
            <family val="2"/>
            <scheme val="minor"/>
          </rPr>
          <t>Introduzca un texto con la finalidad de la contratación</t>
        </r>
      </text>
    </comment>
    <comment ref="C84" authorId="1" shapeId="0">
      <text>
        <r>
          <rPr>
            <sz val="11"/>
            <color theme="1"/>
            <rFont val="Calibri"/>
            <family val="2"/>
            <scheme val="minor"/>
          </rPr>
          <t>Seleccionar un valor del listado</t>
        </r>
      </text>
    </comment>
    <comment ref="D84" authorId="1" shapeId="0">
      <text>
        <r>
          <rPr>
            <sz val="11"/>
            <color theme="1"/>
            <rFont val="Calibri"/>
            <family val="2"/>
            <scheme val="minor"/>
          </rPr>
          <t>Seleccione el tipo de procedimiento</t>
        </r>
      </text>
    </comment>
    <comment ref="E84" authorId="1" shapeId="0">
      <text>
        <r>
          <rPr>
            <sz val="11"/>
            <color theme="1"/>
            <rFont val="Calibri"/>
            <family val="2"/>
            <scheme val="minor"/>
          </rPr>
          <t>Seleccione un valor de la lista</t>
        </r>
      </text>
    </comment>
    <comment ref="F84" authorId="1" shapeId="0">
      <text>
        <r>
          <rPr>
            <sz val="11"/>
            <color theme="1"/>
            <rFont val="Calibri"/>
            <family val="2"/>
            <scheme val="minor"/>
          </rPr>
          <t>Introduzca el código SNIP</t>
        </r>
      </text>
    </comment>
    <comment ref="C85" authorId="1" shapeId="0">
      <text>
        <r>
          <rPr>
            <sz val="11"/>
            <color theme="1"/>
            <rFont val="Calibri"/>
            <family val="2"/>
            <scheme val="minor"/>
          </rPr>
          <t>Introduzca la fecha de inicio del proceso, en formato dd-mm-aaaa</t>
        </r>
      </text>
    </comment>
    <comment ref="F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 authorId="1" shapeId="0">
      <text/>
    </comment>
    <comment ref="C87" authorId="1" shapeId="0">
      <text>
        <r>
          <rPr>
            <sz val="11"/>
            <color theme="1"/>
            <rFont val="Calibri"/>
            <family val="2"/>
            <scheme val="minor"/>
          </rPr>
          <t>Introduzca la fecha prevista de adjudicación, en formato dd-mm-aaaa</t>
        </r>
      </text>
    </comment>
    <comment ref="F87" authorId="1" shapeId="0">
      <text/>
    </comment>
    <comment ref="F88" authorId="1" shapeId="0">
      <text/>
    </comment>
    <comment ref="A90" authorId="1" shapeId="0">
      <text>
        <r>
          <rPr>
            <sz val="11"/>
            <color theme="1"/>
            <rFont val="Calibri"/>
            <family val="2"/>
            <scheme val="minor"/>
          </rPr>
          <t>Introduzca un codigo UNSPSC</t>
        </r>
      </text>
    </comment>
    <comment ref="B90" authorId="1" shapeId="0">
      <text>
        <r>
          <rPr>
            <sz val="11"/>
            <color theme="1"/>
            <rFont val="Calibri"/>
            <family val="2"/>
            <scheme val="minor"/>
          </rPr>
          <t>Descripción calculada automáticamente a partir de código del artículo</t>
        </r>
      </text>
    </comment>
    <comment ref="C90" authorId="1" shapeId="0">
      <text>
        <r>
          <rPr>
            <sz val="11"/>
            <color theme="1"/>
            <rFont val="Calibri"/>
            <family val="2"/>
            <scheme val="minor"/>
          </rPr>
          <t>Seleccione un valor de la lista</t>
        </r>
      </text>
    </comment>
    <comment ref="D90" authorId="1" shapeId="0">
      <text>
        <r>
          <rPr>
            <sz val="11"/>
            <color theme="1"/>
            <rFont val="Calibri"/>
            <family val="2"/>
            <scheme val="minor"/>
          </rPr>
          <t>Introduzca un número con dos decimales como máximo. Debe ser igual o mayor a la "Cantidad Real Consumida"</t>
        </r>
      </text>
    </comment>
    <comment ref="E90" authorId="1" shapeId="0">
      <text>
        <r>
          <rPr>
            <sz val="11"/>
            <color theme="1"/>
            <rFont val="Calibri"/>
            <family val="2"/>
            <scheme val="minor"/>
          </rPr>
          <t>Introduzca un número con dos decimales como máximo</t>
        </r>
      </text>
    </comment>
    <comment ref="F90" authorId="1" shapeId="0">
      <text>
        <r>
          <rPr>
            <sz val="11"/>
            <color theme="1"/>
            <rFont val="Calibri"/>
            <family val="2"/>
            <scheme val="minor"/>
          </rPr>
          <t>Monto calculado automáticamente por el sistema</t>
        </r>
      </text>
    </comment>
    <comment ref="A139" authorId="1" shapeId="0">
      <text>
        <r>
          <rPr>
            <sz val="11"/>
            <color theme="1"/>
            <rFont val="Calibri"/>
            <family val="2"/>
            <scheme val="minor"/>
          </rPr>
          <t>Introducir un texto con el nombre o referencia de la contratación</t>
        </r>
      </text>
    </comment>
    <comment ref="B139" authorId="1" shapeId="0">
      <text>
        <r>
          <rPr>
            <sz val="11"/>
            <color theme="1"/>
            <rFont val="Calibri"/>
            <family val="2"/>
            <scheme val="minor"/>
          </rPr>
          <t>Introduzca un texto con la finalidad de la contratación</t>
        </r>
      </text>
    </comment>
    <comment ref="C139" authorId="1" shapeId="0">
      <text>
        <r>
          <rPr>
            <sz val="11"/>
            <color theme="1"/>
            <rFont val="Calibri"/>
            <family val="2"/>
            <scheme val="minor"/>
          </rPr>
          <t>Seleccionar un valor del listado</t>
        </r>
      </text>
    </comment>
    <comment ref="D139" authorId="1" shapeId="0">
      <text>
        <r>
          <rPr>
            <sz val="11"/>
            <color theme="1"/>
            <rFont val="Calibri"/>
            <family val="2"/>
            <scheme val="minor"/>
          </rPr>
          <t>Seleccione el tipo de procedimiento</t>
        </r>
      </text>
    </comment>
    <comment ref="E139" authorId="1" shapeId="0">
      <text>
        <r>
          <rPr>
            <sz val="11"/>
            <color theme="1"/>
            <rFont val="Calibri"/>
            <family val="2"/>
            <scheme val="minor"/>
          </rPr>
          <t>Seleccione un valor de la lista</t>
        </r>
      </text>
    </comment>
    <comment ref="F139" authorId="1" shapeId="0">
      <text>
        <r>
          <rPr>
            <sz val="11"/>
            <color theme="1"/>
            <rFont val="Calibri"/>
            <family val="2"/>
            <scheme val="minor"/>
          </rPr>
          <t>Introduzca el código SNIP</t>
        </r>
      </text>
    </comment>
    <comment ref="C140" authorId="1" shapeId="0">
      <text>
        <r>
          <rPr>
            <sz val="11"/>
            <color theme="1"/>
            <rFont val="Calibri"/>
            <family val="2"/>
            <scheme val="minor"/>
          </rPr>
          <t>Introduzca la fecha de inicio del proceso, en formato dd-mm-aaaa</t>
        </r>
      </text>
    </comment>
    <comment ref="F1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 authorId="1" shapeId="0">
      <text/>
    </comment>
    <comment ref="C142" authorId="1" shapeId="0">
      <text>
        <r>
          <rPr>
            <sz val="11"/>
            <color theme="1"/>
            <rFont val="Calibri"/>
            <family val="2"/>
            <scheme val="minor"/>
          </rPr>
          <t>Introduzca la fecha prevista de adjudicación, en formato dd-mm-aaaa</t>
        </r>
      </text>
    </comment>
    <comment ref="F142" authorId="1" shapeId="0">
      <text/>
    </comment>
    <comment ref="F143" authorId="1" shapeId="0">
      <text/>
    </comment>
    <comment ref="A145" authorId="1" shapeId="0">
      <text>
        <r>
          <rPr>
            <sz val="11"/>
            <color theme="1"/>
            <rFont val="Calibri"/>
            <family val="2"/>
            <scheme val="minor"/>
          </rPr>
          <t>Introduzca un codigo UNSPSC</t>
        </r>
      </text>
    </comment>
    <comment ref="B145" authorId="1" shapeId="0">
      <text>
        <r>
          <rPr>
            <sz val="11"/>
            <color theme="1"/>
            <rFont val="Calibri"/>
            <family val="2"/>
            <scheme val="minor"/>
          </rPr>
          <t>Descripción calculada automáticamente a partir de código del artículo</t>
        </r>
      </text>
    </comment>
    <comment ref="C145" authorId="1" shapeId="0">
      <text>
        <r>
          <rPr>
            <sz val="11"/>
            <color theme="1"/>
            <rFont val="Calibri"/>
            <family val="2"/>
            <scheme val="minor"/>
          </rPr>
          <t>Seleccione un valor de la lista</t>
        </r>
      </text>
    </comment>
    <comment ref="D145" authorId="1" shapeId="0">
      <text>
        <r>
          <rPr>
            <sz val="11"/>
            <color theme="1"/>
            <rFont val="Calibri"/>
            <family val="2"/>
            <scheme val="minor"/>
          </rPr>
          <t>Introduzca un número con dos decimales como máximo. Debe ser igual o mayor a la "Cantidad Real Consumida"</t>
        </r>
      </text>
    </comment>
    <comment ref="E145" authorId="1" shapeId="0">
      <text>
        <r>
          <rPr>
            <sz val="11"/>
            <color theme="1"/>
            <rFont val="Calibri"/>
            <family val="2"/>
            <scheme val="minor"/>
          </rPr>
          <t>Introduzca un número con dos decimales como máximo</t>
        </r>
      </text>
    </comment>
    <comment ref="F145" authorId="1" shapeId="0">
      <text>
        <r>
          <rPr>
            <sz val="11"/>
            <color theme="1"/>
            <rFont val="Calibri"/>
            <family val="2"/>
            <scheme val="minor"/>
          </rPr>
          <t>Monto calculado automáticamente por el sistema</t>
        </r>
      </text>
    </comment>
    <comment ref="A165" authorId="1" shapeId="0">
      <text>
        <r>
          <rPr>
            <sz val="11"/>
            <color theme="1"/>
            <rFont val="Calibri"/>
            <family val="2"/>
            <scheme val="minor"/>
          </rPr>
          <t>Introducir un texto con el nombre o referencia de la contratación</t>
        </r>
      </text>
    </comment>
    <comment ref="B165" authorId="1" shapeId="0">
      <text>
        <r>
          <rPr>
            <sz val="11"/>
            <color theme="1"/>
            <rFont val="Calibri"/>
            <family val="2"/>
            <scheme val="minor"/>
          </rPr>
          <t>Introduzca un texto con la finalidad de la contratación</t>
        </r>
      </text>
    </comment>
    <comment ref="C165" authorId="1" shapeId="0">
      <text>
        <r>
          <rPr>
            <sz val="11"/>
            <color theme="1"/>
            <rFont val="Calibri"/>
            <family val="2"/>
            <scheme val="minor"/>
          </rPr>
          <t>Seleccionar un valor del listado</t>
        </r>
      </text>
    </comment>
    <comment ref="D165" authorId="1" shapeId="0">
      <text>
        <r>
          <rPr>
            <sz val="11"/>
            <color theme="1"/>
            <rFont val="Calibri"/>
            <family val="2"/>
            <scheme val="minor"/>
          </rPr>
          <t>Seleccione el tipo de procedimiento</t>
        </r>
      </text>
    </comment>
    <comment ref="E165" authorId="1" shapeId="0">
      <text>
        <r>
          <rPr>
            <sz val="11"/>
            <color theme="1"/>
            <rFont val="Calibri"/>
            <family val="2"/>
            <scheme val="minor"/>
          </rPr>
          <t>Seleccione un valor de la lista</t>
        </r>
      </text>
    </comment>
    <comment ref="F165" authorId="1" shapeId="0">
      <text>
        <r>
          <rPr>
            <sz val="11"/>
            <color theme="1"/>
            <rFont val="Calibri"/>
            <family val="2"/>
            <scheme val="minor"/>
          </rPr>
          <t>Introduzca el código SNIP</t>
        </r>
      </text>
    </comment>
    <comment ref="C166" authorId="1" shapeId="0">
      <text>
        <r>
          <rPr>
            <sz val="11"/>
            <color theme="1"/>
            <rFont val="Calibri"/>
            <family val="2"/>
            <scheme val="minor"/>
          </rPr>
          <t>Introduzca la fecha de inicio del proceso, en formato dd-mm-aaaa</t>
        </r>
      </text>
    </comment>
    <comment ref="F1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1" shapeId="0">
      <text/>
    </comment>
    <comment ref="C168" authorId="1" shapeId="0">
      <text>
        <r>
          <rPr>
            <sz val="11"/>
            <color theme="1"/>
            <rFont val="Calibri"/>
            <family val="2"/>
            <scheme val="minor"/>
          </rPr>
          <t>Introduzca la fecha prevista de adjudicación, en formato dd-mm-aaaa</t>
        </r>
      </text>
    </comment>
    <comment ref="F168" authorId="1" shapeId="0">
      <text/>
    </comment>
    <comment ref="F169" authorId="1" shapeId="0">
      <text/>
    </comment>
    <comment ref="A171" authorId="1" shapeId="0">
      <text>
        <r>
          <rPr>
            <sz val="11"/>
            <color theme="1"/>
            <rFont val="Calibri"/>
            <family val="2"/>
            <scheme val="minor"/>
          </rPr>
          <t>Introduzca un codigo UNSPSC</t>
        </r>
      </text>
    </comment>
    <comment ref="B171" authorId="1" shapeId="0">
      <text>
        <r>
          <rPr>
            <sz val="11"/>
            <color theme="1"/>
            <rFont val="Calibri"/>
            <family val="2"/>
            <scheme val="minor"/>
          </rPr>
          <t>Descripción calculada automáticamente a partir de código del artículo</t>
        </r>
      </text>
    </comment>
    <comment ref="C171" authorId="1" shapeId="0">
      <text>
        <r>
          <rPr>
            <sz val="11"/>
            <color theme="1"/>
            <rFont val="Calibri"/>
            <family val="2"/>
            <scheme val="minor"/>
          </rPr>
          <t>Seleccione un valor de la lista</t>
        </r>
      </text>
    </comment>
    <comment ref="D171" authorId="1" shapeId="0">
      <text>
        <r>
          <rPr>
            <sz val="11"/>
            <color theme="1"/>
            <rFont val="Calibri"/>
            <family val="2"/>
            <scheme val="minor"/>
          </rPr>
          <t>Introduzca un número con dos decimales como máximo. Debe ser igual o mayor a la "Cantidad Real Consumida"</t>
        </r>
      </text>
    </comment>
    <comment ref="E171" authorId="1" shapeId="0">
      <text>
        <r>
          <rPr>
            <sz val="11"/>
            <color theme="1"/>
            <rFont val="Calibri"/>
            <family val="2"/>
            <scheme val="minor"/>
          </rPr>
          <t>Introduzca un número con dos decimales como máximo</t>
        </r>
      </text>
    </comment>
    <comment ref="F171" authorId="1" shapeId="0">
      <text>
        <r>
          <rPr>
            <sz val="11"/>
            <color theme="1"/>
            <rFont val="Calibri"/>
            <family val="2"/>
            <scheme val="minor"/>
          </rPr>
          <t>Monto calculado automáticamente por el sistema</t>
        </r>
      </text>
    </comment>
    <comment ref="A206" authorId="1" shapeId="0">
      <text>
        <r>
          <rPr>
            <sz val="11"/>
            <color theme="1"/>
            <rFont val="Calibri"/>
            <family val="2"/>
            <scheme val="minor"/>
          </rPr>
          <t>Introducir un texto con el nombre o referencia de la contratación</t>
        </r>
      </text>
    </comment>
    <comment ref="B206" authorId="1" shapeId="0">
      <text>
        <r>
          <rPr>
            <sz val="11"/>
            <color theme="1"/>
            <rFont val="Calibri"/>
            <family val="2"/>
            <scheme val="minor"/>
          </rPr>
          <t>Introduzca un texto con la finalidad de la contratación</t>
        </r>
      </text>
    </comment>
    <comment ref="C206" authorId="1" shapeId="0">
      <text>
        <r>
          <rPr>
            <sz val="11"/>
            <color theme="1"/>
            <rFont val="Calibri"/>
            <family val="2"/>
            <scheme val="minor"/>
          </rPr>
          <t>Seleccionar un valor del listado</t>
        </r>
      </text>
    </comment>
    <comment ref="D206" authorId="1" shapeId="0">
      <text>
        <r>
          <rPr>
            <sz val="11"/>
            <color theme="1"/>
            <rFont val="Calibri"/>
            <family val="2"/>
            <scheme val="minor"/>
          </rPr>
          <t>Seleccione el tipo de procedimiento</t>
        </r>
      </text>
    </comment>
    <comment ref="E206" authorId="1" shapeId="0">
      <text>
        <r>
          <rPr>
            <sz val="11"/>
            <color theme="1"/>
            <rFont val="Calibri"/>
            <family val="2"/>
            <scheme val="minor"/>
          </rPr>
          <t>Seleccione un valor de la lista</t>
        </r>
      </text>
    </comment>
    <comment ref="F206" authorId="1" shapeId="0">
      <text>
        <r>
          <rPr>
            <sz val="11"/>
            <color theme="1"/>
            <rFont val="Calibri"/>
            <family val="2"/>
            <scheme val="minor"/>
          </rPr>
          <t>Introduzca el código SNIP</t>
        </r>
      </text>
    </comment>
    <comment ref="C207" authorId="1" shapeId="0">
      <text>
        <r>
          <rPr>
            <sz val="11"/>
            <color theme="1"/>
            <rFont val="Calibri"/>
            <family val="2"/>
            <scheme val="minor"/>
          </rPr>
          <t>Introduzca la fecha de inicio del proceso, en formato dd-mm-aaaa</t>
        </r>
      </text>
    </comment>
    <comment ref="F2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1" shapeId="0">
      <text/>
    </comment>
    <comment ref="C209" authorId="1" shapeId="0">
      <text>
        <r>
          <rPr>
            <sz val="11"/>
            <color theme="1"/>
            <rFont val="Calibri"/>
            <family val="2"/>
            <scheme val="minor"/>
          </rPr>
          <t>Introduzca la fecha prevista de adjudicación, en formato dd-mm-aaaa</t>
        </r>
      </text>
    </comment>
    <comment ref="F209" authorId="1" shapeId="0">
      <text/>
    </comment>
    <comment ref="F210" authorId="1" shapeId="0">
      <text/>
    </comment>
    <comment ref="A212" authorId="1" shapeId="0">
      <text>
        <r>
          <rPr>
            <sz val="11"/>
            <color theme="1"/>
            <rFont val="Calibri"/>
            <family val="2"/>
            <scheme val="minor"/>
          </rPr>
          <t>Introduzca un codigo UNSPSC</t>
        </r>
      </text>
    </comment>
    <comment ref="B212" authorId="1" shapeId="0">
      <text>
        <r>
          <rPr>
            <sz val="11"/>
            <color theme="1"/>
            <rFont val="Calibri"/>
            <family val="2"/>
            <scheme val="minor"/>
          </rPr>
          <t>Descripción calculada automáticamente a partir de código del artículo</t>
        </r>
      </text>
    </comment>
    <comment ref="C212" authorId="1" shapeId="0">
      <text>
        <r>
          <rPr>
            <sz val="11"/>
            <color theme="1"/>
            <rFont val="Calibri"/>
            <family val="2"/>
            <scheme val="minor"/>
          </rPr>
          <t>Seleccione un valor de la lista</t>
        </r>
      </text>
    </comment>
    <comment ref="D212" authorId="1" shapeId="0">
      <text>
        <r>
          <rPr>
            <sz val="11"/>
            <color theme="1"/>
            <rFont val="Calibri"/>
            <family val="2"/>
            <scheme val="minor"/>
          </rPr>
          <t>Introduzca un número con dos decimales como máximo. Debe ser igual o mayor a la "Cantidad Real Consumida"</t>
        </r>
      </text>
    </comment>
    <comment ref="E212" authorId="1" shapeId="0">
      <text>
        <r>
          <rPr>
            <sz val="11"/>
            <color theme="1"/>
            <rFont val="Calibri"/>
            <family val="2"/>
            <scheme val="minor"/>
          </rPr>
          <t>Introduzca un número con dos decimales como máximo</t>
        </r>
      </text>
    </comment>
    <comment ref="F212" authorId="1" shapeId="0">
      <text>
        <r>
          <rPr>
            <sz val="11"/>
            <color theme="1"/>
            <rFont val="Calibri"/>
            <family val="2"/>
            <scheme val="minor"/>
          </rPr>
          <t>Monto calculado automáticamente por el sistema</t>
        </r>
      </text>
    </comment>
    <comment ref="A218" authorId="1" shapeId="0">
      <text>
        <r>
          <rPr>
            <sz val="11"/>
            <color theme="1"/>
            <rFont val="Calibri"/>
            <family val="2"/>
            <scheme val="minor"/>
          </rPr>
          <t>Introducir un texto con el nombre o referencia de la contratación</t>
        </r>
      </text>
    </comment>
    <comment ref="B218" authorId="1" shapeId="0">
      <text>
        <r>
          <rPr>
            <sz val="11"/>
            <color theme="1"/>
            <rFont val="Calibri"/>
            <family val="2"/>
            <scheme val="minor"/>
          </rPr>
          <t>Introduzca un texto con la finalidad de la contratación</t>
        </r>
      </text>
    </comment>
    <comment ref="C218" authorId="1" shapeId="0">
      <text>
        <r>
          <rPr>
            <sz val="11"/>
            <color theme="1"/>
            <rFont val="Calibri"/>
            <family val="2"/>
            <scheme val="minor"/>
          </rPr>
          <t>Seleccionar un valor del listado</t>
        </r>
      </text>
    </comment>
    <comment ref="D218" authorId="1" shapeId="0">
      <text>
        <r>
          <rPr>
            <sz val="11"/>
            <color theme="1"/>
            <rFont val="Calibri"/>
            <family val="2"/>
            <scheme val="minor"/>
          </rPr>
          <t>Seleccione el tipo de procedimiento</t>
        </r>
      </text>
    </comment>
    <comment ref="E218" authorId="1" shapeId="0">
      <text>
        <r>
          <rPr>
            <sz val="11"/>
            <color theme="1"/>
            <rFont val="Calibri"/>
            <family val="2"/>
            <scheme val="minor"/>
          </rPr>
          <t>Seleccione un valor de la lista</t>
        </r>
      </text>
    </comment>
    <comment ref="F218" authorId="1" shapeId="0">
      <text>
        <r>
          <rPr>
            <sz val="11"/>
            <color theme="1"/>
            <rFont val="Calibri"/>
            <family val="2"/>
            <scheme val="minor"/>
          </rPr>
          <t>Introduzca el código SNIP</t>
        </r>
      </text>
    </comment>
    <comment ref="C219" authorId="1" shapeId="0">
      <text>
        <r>
          <rPr>
            <sz val="11"/>
            <color theme="1"/>
            <rFont val="Calibri"/>
            <family val="2"/>
            <scheme val="minor"/>
          </rPr>
          <t>Introduzca la fecha de inicio del proceso, en formato dd-mm-aaaa</t>
        </r>
      </text>
    </comment>
    <comment ref="F2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1" shapeId="0">
      <text/>
    </comment>
    <comment ref="C221" authorId="1" shapeId="0">
      <text>
        <r>
          <rPr>
            <sz val="11"/>
            <color theme="1"/>
            <rFont val="Calibri"/>
            <family val="2"/>
            <scheme val="minor"/>
          </rPr>
          <t>Introduzca la fecha prevista de adjudicación, en formato dd-mm-aaaa</t>
        </r>
      </text>
    </comment>
    <comment ref="F221" authorId="1" shapeId="0">
      <text/>
    </comment>
    <comment ref="F222" authorId="1" shapeId="0">
      <text/>
    </comment>
    <comment ref="A224" authorId="1" shapeId="0">
      <text>
        <r>
          <rPr>
            <sz val="11"/>
            <color theme="1"/>
            <rFont val="Calibri"/>
            <family val="2"/>
            <scheme val="minor"/>
          </rPr>
          <t>Introduzca un codigo UNSPSC</t>
        </r>
      </text>
    </comment>
    <comment ref="B224" authorId="1" shapeId="0">
      <text>
        <r>
          <rPr>
            <sz val="11"/>
            <color theme="1"/>
            <rFont val="Calibri"/>
            <family val="2"/>
            <scheme val="minor"/>
          </rPr>
          <t>Descripción calculada automáticamente a partir de código del artículo</t>
        </r>
      </text>
    </comment>
    <comment ref="C224" authorId="1" shapeId="0">
      <text>
        <r>
          <rPr>
            <sz val="11"/>
            <color theme="1"/>
            <rFont val="Calibri"/>
            <family val="2"/>
            <scheme val="minor"/>
          </rPr>
          <t>Seleccione un valor de la lista</t>
        </r>
      </text>
    </comment>
    <comment ref="D224" authorId="1" shapeId="0">
      <text>
        <r>
          <rPr>
            <sz val="11"/>
            <color theme="1"/>
            <rFont val="Calibri"/>
            <family val="2"/>
            <scheme val="minor"/>
          </rPr>
          <t>Introduzca un número con dos decimales como máximo. Debe ser igual o mayor a la "Cantidad Real Consumida"</t>
        </r>
      </text>
    </comment>
    <comment ref="E224" authorId="1" shapeId="0">
      <text>
        <r>
          <rPr>
            <sz val="11"/>
            <color theme="1"/>
            <rFont val="Calibri"/>
            <family val="2"/>
            <scheme val="minor"/>
          </rPr>
          <t>Introduzca un número con dos decimales como máximo</t>
        </r>
      </text>
    </comment>
    <comment ref="F224" authorId="1" shapeId="0">
      <text>
        <r>
          <rPr>
            <sz val="11"/>
            <color theme="1"/>
            <rFont val="Calibri"/>
            <family val="2"/>
            <scheme val="minor"/>
          </rPr>
          <t>Monto calculado automáticamente por el sistema</t>
        </r>
      </text>
    </comment>
    <comment ref="A231" authorId="1" shapeId="0">
      <text>
        <r>
          <rPr>
            <sz val="11"/>
            <color theme="1"/>
            <rFont val="Calibri"/>
            <family val="2"/>
            <scheme val="minor"/>
          </rPr>
          <t>Introducir un texto con el nombre o referencia de la contratación</t>
        </r>
      </text>
    </comment>
    <comment ref="B231" authorId="1" shapeId="0">
      <text>
        <r>
          <rPr>
            <sz val="11"/>
            <color theme="1"/>
            <rFont val="Calibri"/>
            <family val="2"/>
            <scheme val="minor"/>
          </rPr>
          <t>Introduzca un texto con la finalidad de la contratación</t>
        </r>
      </text>
    </comment>
    <comment ref="C231" authorId="1" shapeId="0">
      <text>
        <r>
          <rPr>
            <sz val="11"/>
            <color theme="1"/>
            <rFont val="Calibri"/>
            <family val="2"/>
            <scheme val="minor"/>
          </rPr>
          <t>Seleccionar un valor del listado</t>
        </r>
      </text>
    </comment>
    <comment ref="D231" authorId="1" shapeId="0">
      <text>
        <r>
          <rPr>
            <sz val="11"/>
            <color theme="1"/>
            <rFont val="Calibri"/>
            <family val="2"/>
            <scheme val="minor"/>
          </rPr>
          <t>Seleccione el tipo de procedimiento</t>
        </r>
      </text>
    </comment>
    <comment ref="E231" authorId="1" shapeId="0">
      <text>
        <r>
          <rPr>
            <sz val="11"/>
            <color theme="1"/>
            <rFont val="Calibri"/>
            <family val="2"/>
            <scheme val="minor"/>
          </rPr>
          <t>Seleccione un valor de la lista</t>
        </r>
      </text>
    </comment>
    <comment ref="F231" authorId="1" shapeId="0">
      <text>
        <r>
          <rPr>
            <sz val="11"/>
            <color theme="1"/>
            <rFont val="Calibri"/>
            <family val="2"/>
            <scheme val="minor"/>
          </rPr>
          <t>Introduzca el código SNIP</t>
        </r>
      </text>
    </comment>
    <comment ref="C232" authorId="1" shapeId="0">
      <text>
        <r>
          <rPr>
            <sz val="11"/>
            <color theme="1"/>
            <rFont val="Calibri"/>
            <family val="2"/>
            <scheme val="minor"/>
          </rPr>
          <t>Introduzca la fecha de inicio del proceso, en formato dd-mm-aaaa</t>
        </r>
      </text>
    </comment>
    <comment ref="F2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 authorId="1" shapeId="0">
      <text/>
    </comment>
    <comment ref="C234" authorId="1" shapeId="0">
      <text>
        <r>
          <rPr>
            <sz val="11"/>
            <color theme="1"/>
            <rFont val="Calibri"/>
            <family val="2"/>
            <scheme val="minor"/>
          </rPr>
          <t>Introduzca la fecha prevista de adjudicación, en formato dd-mm-aaaa</t>
        </r>
      </text>
    </comment>
    <comment ref="F234" authorId="1" shapeId="0">
      <text/>
    </comment>
    <comment ref="F235" authorId="1" shapeId="0">
      <text/>
    </comment>
    <comment ref="A237" authorId="1" shapeId="0">
      <text>
        <r>
          <rPr>
            <sz val="11"/>
            <color theme="1"/>
            <rFont val="Calibri"/>
            <family val="2"/>
            <scheme val="minor"/>
          </rPr>
          <t>Introduzca un codigo UNSPSC</t>
        </r>
      </text>
    </comment>
    <comment ref="B237" authorId="1" shapeId="0">
      <text>
        <r>
          <rPr>
            <sz val="11"/>
            <color theme="1"/>
            <rFont val="Calibri"/>
            <family val="2"/>
            <scheme val="minor"/>
          </rPr>
          <t>Descripción calculada automáticamente a partir de código del artículo</t>
        </r>
      </text>
    </comment>
    <comment ref="C237" authorId="1" shapeId="0">
      <text>
        <r>
          <rPr>
            <sz val="11"/>
            <color theme="1"/>
            <rFont val="Calibri"/>
            <family val="2"/>
            <scheme val="minor"/>
          </rPr>
          <t>Seleccione un valor de la lista</t>
        </r>
      </text>
    </comment>
    <comment ref="D237" authorId="1" shapeId="0">
      <text>
        <r>
          <rPr>
            <sz val="11"/>
            <color theme="1"/>
            <rFont val="Calibri"/>
            <family val="2"/>
            <scheme val="minor"/>
          </rPr>
          <t>Introduzca un número con dos decimales como máximo. Debe ser igual o mayor a la "Cantidad Real Consumida"</t>
        </r>
      </text>
    </comment>
    <comment ref="E237" authorId="1" shapeId="0">
      <text>
        <r>
          <rPr>
            <sz val="11"/>
            <color theme="1"/>
            <rFont val="Calibri"/>
            <family val="2"/>
            <scheme val="minor"/>
          </rPr>
          <t>Introduzca un número con dos decimales como máximo</t>
        </r>
      </text>
    </comment>
    <comment ref="F237" authorId="1" shapeId="0">
      <text>
        <r>
          <rPr>
            <sz val="11"/>
            <color theme="1"/>
            <rFont val="Calibri"/>
            <family val="2"/>
            <scheme val="minor"/>
          </rPr>
          <t>Monto calculado automáticamente por el sistema</t>
        </r>
      </text>
    </comment>
    <comment ref="A244" authorId="1" shapeId="0">
      <text>
        <r>
          <rPr>
            <sz val="11"/>
            <color theme="1"/>
            <rFont val="Calibri"/>
            <family val="2"/>
            <scheme val="minor"/>
          </rPr>
          <t>Introducir un texto con el nombre o referencia de la contratación</t>
        </r>
      </text>
    </comment>
    <comment ref="B244" authorId="1" shapeId="0">
      <text>
        <r>
          <rPr>
            <sz val="11"/>
            <color theme="1"/>
            <rFont val="Calibri"/>
            <family val="2"/>
            <scheme val="minor"/>
          </rPr>
          <t>Introduzca un texto con la finalidad de la contratación</t>
        </r>
      </text>
    </comment>
    <comment ref="C244" authorId="1" shapeId="0">
      <text>
        <r>
          <rPr>
            <sz val="11"/>
            <color theme="1"/>
            <rFont val="Calibri"/>
            <family val="2"/>
            <scheme val="minor"/>
          </rPr>
          <t>Seleccionar un valor del listado</t>
        </r>
      </text>
    </comment>
    <comment ref="D244" authorId="1" shapeId="0">
      <text>
        <r>
          <rPr>
            <sz val="11"/>
            <color theme="1"/>
            <rFont val="Calibri"/>
            <family val="2"/>
            <scheme val="minor"/>
          </rPr>
          <t>Seleccione el tipo de procedimiento</t>
        </r>
      </text>
    </comment>
    <comment ref="E244" authorId="1" shapeId="0">
      <text>
        <r>
          <rPr>
            <sz val="11"/>
            <color theme="1"/>
            <rFont val="Calibri"/>
            <family val="2"/>
            <scheme val="minor"/>
          </rPr>
          <t>Seleccione un valor de la lista</t>
        </r>
      </text>
    </comment>
    <comment ref="F244" authorId="1" shapeId="0">
      <text>
        <r>
          <rPr>
            <sz val="11"/>
            <color theme="1"/>
            <rFont val="Calibri"/>
            <family val="2"/>
            <scheme val="minor"/>
          </rPr>
          <t>Introduzca el código SNIP</t>
        </r>
      </text>
    </comment>
    <comment ref="C245" authorId="1" shapeId="0">
      <text>
        <r>
          <rPr>
            <sz val="11"/>
            <color theme="1"/>
            <rFont val="Calibri"/>
            <family val="2"/>
            <scheme val="minor"/>
          </rPr>
          <t>Introduzca la fecha de inicio del proceso, en formato dd-mm-aaaa</t>
        </r>
      </text>
    </comment>
    <comment ref="F2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 authorId="1" shapeId="0">
      <text/>
    </comment>
    <comment ref="C247" authorId="1" shapeId="0">
      <text>
        <r>
          <rPr>
            <sz val="11"/>
            <color theme="1"/>
            <rFont val="Calibri"/>
            <family val="2"/>
            <scheme val="minor"/>
          </rPr>
          <t>Introduzca la fecha prevista de adjudicación, en formato dd-mm-aaaa</t>
        </r>
      </text>
    </comment>
    <comment ref="F247" authorId="1" shapeId="0">
      <text/>
    </comment>
    <comment ref="F248" authorId="1" shapeId="0">
      <text/>
    </comment>
    <comment ref="A250" authorId="1" shapeId="0">
      <text>
        <r>
          <rPr>
            <sz val="11"/>
            <color theme="1"/>
            <rFont val="Calibri"/>
            <family val="2"/>
            <scheme val="minor"/>
          </rPr>
          <t>Introduzca un codigo UNSPSC</t>
        </r>
      </text>
    </comment>
    <comment ref="B250" authorId="1" shapeId="0">
      <text>
        <r>
          <rPr>
            <sz val="11"/>
            <color theme="1"/>
            <rFont val="Calibri"/>
            <family val="2"/>
            <scheme val="minor"/>
          </rPr>
          <t>Descripción calculada automáticamente a partir de código del artículo</t>
        </r>
      </text>
    </comment>
    <comment ref="C250" authorId="1" shapeId="0">
      <text>
        <r>
          <rPr>
            <sz val="11"/>
            <color theme="1"/>
            <rFont val="Calibri"/>
            <family val="2"/>
            <scheme val="minor"/>
          </rPr>
          <t>Seleccione un valor de la lista</t>
        </r>
      </text>
    </comment>
    <comment ref="D250" authorId="1" shapeId="0">
      <text>
        <r>
          <rPr>
            <sz val="11"/>
            <color theme="1"/>
            <rFont val="Calibri"/>
            <family val="2"/>
            <scheme val="minor"/>
          </rPr>
          <t>Introduzca un número con dos decimales como máximo. Debe ser igual o mayor a la "Cantidad Real Consumida"</t>
        </r>
      </text>
    </comment>
    <comment ref="E250" authorId="1" shapeId="0">
      <text>
        <r>
          <rPr>
            <sz val="11"/>
            <color theme="1"/>
            <rFont val="Calibri"/>
            <family val="2"/>
            <scheme val="minor"/>
          </rPr>
          <t>Introduzca un número con dos decimales como máximo</t>
        </r>
      </text>
    </comment>
    <comment ref="F250" authorId="1" shapeId="0">
      <text>
        <r>
          <rPr>
            <sz val="11"/>
            <color theme="1"/>
            <rFont val="Calibri"/>
            <family val="2"/>
            <scheme val="minor"/>
          </rPr>
          <t>Monto calculado automáticamente por el sistema</t>
        </r>
      </text>
    </comment>
    <comment ref="A262" authorId="1" shapeId="0">
      <text>
        <r>
          <rPr>
            <sz val="11"/>
            <color theme="1"/>
            <rFont val="Calibri"/>
            <family val="2"/>
            <scheme val="minor"/>
          </rPr>
          <t>Introducir un texto con el nombre o referencia de la contratación</t>
        </r>
      </text>
    </comment>
    <comment ref="B262" authorId="1" shapeId="0">
      <text>
        <r>
          <rPr>
            <sz val="11"/>
            <color theme="1"/>
            <rFont val="Calibri"/>
            <family val="2"/>
            <scheme val="minor"/>
          </rPr>
          <t>Introduzca un texto con la finalidad de la contratación</t>
        </r>
      </text>
    </comment>
    <comment ref="C262" authorId="1" shapeId="0">
      <text>
        <r>
          <rPr>
            <sz val="11"/>
            <color theme="1"/>
            <rFont val="Calibri"/>
            <family val="2"/>
            <scheme val="minor"/>
          </rPr>
          <t>Seleccionar un valor del listado</t>
        </r>
      </text>
    </comment>
    <comment ref="D262" authorId="1" shapeId="0">
      <text>
        <r>
          <rPr>
            <sz val="11"/>
            <color theme="1"/>
            <rFont val="Calibri"/>
            <family val="2"/>
            <scheme val="minor"/>
          </rPr>
          <t>Seleccione el tipo de procedimiento</t>
        </r>
      </text>
    </comment>
    <comment ref="E262" authorId="1" shapeId="0">
      <text>
        <r>
          <rPr>
            <sz val="11"/>
            <color theme="1"/>
            <rFont val="Calibri"/>
            <family val="2"/>
            <scheme val="minor"/>
          </rPr>
          <t>Seleccione un valor de la lista</t>
        </r>
      </text>
    </comment>
    <comment ref="F262" authorId="1" shapeId="0">
      <text>
        <r>
          <rPr>
            <sz val="11"/>
            <color theme="1"/>
            <rFont val="Calibri"/>
            <family val="2"/>
            <scheme val="minor"/>
          </rPr>
          <t>Introduzca el código SNIP</t>
        </r>
      </text>
    </comment>
    <comment ref="C263" authorId="1" shapeId="0">
      <text>
        <r>
          <rPr>
            <sz val="11"/>
            <color theme="1"/>
            <rFont val="Calibri"/>
            <family val="2"/>
            <scheme val="minor"/>
          </rPr>
          <t>Introduzca la fecha de inicio del proceso, en formato dd-mm-aaaa</t>
        </r>
      </text>
    </comment>
    <comment ref="F2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shapeId="0">
      <text/>
    </comment>
    <comment ref="C265" authorId="1" shapeId="0">
      <text>
        <r>
          <rPr>
            <sz val="11"/>
            <color theme="1"/>
            <rFont val="Calibri"/>
            <family val="2"/>
            <scheme val="minor"/>
          </rPr>
          <t>Introduzca la fecha prevista de adjudicación, en formato dd-mm-aaaa</t>
        </r>
      </text>
    </comment>
    <comment ref="F265" authorId="1" shapeId="0">
      <text/>
    </comment>
    <comment ref="F266" authorId="1" shapeId="0">
      <text/>
    </comment>
    <comment ref="A268" authorId="1" shapeId="0">
      <text>
        <r>
          <rPr>
            <sz val="11"/>
            <color theme="1"/>
            <rFont val="Calibri"/>
            <family val="2"/>
            <scheme val="minor"/>
          </rPr>
          <t>Introduzca un codigo UNSPSC</t>
        </r>
      </text>
    </comment>
    <comment ref="B268" authorId="1" shapeId="0">
      <text>
        <r>
          <rPr>
            <sz val="11"/>
            <color theme="1"/>
            <rFont val="Calibri"/>
            <family val="2"/>
            <scheme val="minor"/>
          </rPr>
          <t>Descripción calculada automáticamente a partir de código del artículo</t>
        </r>
      </text>
    </comment>
    <comment ref="C268" authorId="1" shapeId="0">
      <text>
        <r>
          <rPr>
            <sz val="11"/>
            <color theme="1"/>
            <rFont val="Calibri"/>
            <family val="2"/>
            <scheme val="minor"/>
          </rPr>
          <t>Seleccione un valor de la lista</t>
        </r>
      </text>
    </comment>
    <comment ref="D268" authorId="1" shapeId="0">
      <text>
        <r>
          <rPr>
            <sz val="11"/>
            <color theme="1"/>
            <rFont val="Calibri"/>
            <family val="2"/>
            <scheme val="minor"/>
          </rPr>
          <t>Introduzca un número con dos decimales como máximo. Debe ser igual o mayor a la "Cantidad Real Consumida"</t>
        </r>
      </text>
    </comment>
    <comment ref="E268" authorId="1" shapeId="0">
      <text>
        <r>
          <rPr>
            <sz val="11"/>
            <color theme="1"/>
            <rFont val="Calibri"/>
            <family val="2"/>
            <scheme val="minor"/>
          </rPr>
          <t>Introduzca un número con dos decimales como máximo</t>
        </r>
      </text>
    </comment>
    <comment ref="F268" authorId="1" shapeId="0">
      <text>
        <r>
          <rPr>
            <sz val="11"/>
            <color theme="1"/>
            <rFont val="Calibri"/>
            <family val="2"/>
            <scheme val="minor"/>
          </rPr>
          <t>Monto calculado automáticamente por el sistema</t>
        </r>
      </text>
    </comment>
    <comment ref="A275" authorId="1" shapeId="0">
      <text>
        <r>
          <rPr>
            <sz val="11"/>
            <color theme="1"/>
            <rFont val="Calibri"/>
            <family val="2"/>
            <scheme val="minor"/>
          </rPr>
          <t>Introducir un texto con el nombre o referencia de la contratación</t>
        </r>
      </text>
    </comment>
    <comment ref="B275" authorId="1" shapeId="0">
      <text>
        <r>
          <rPr>
            <sz val="11"/>
            <color theme="1"/>
            <rFont val="Calibri"/>
            <family val="2"/>
            <scheme val="minor"/>
          </rPr>
          <t>Introduzca un texto con la finalidad de la contratación</t>
        </r>
      </text>
    </comment>
    <comment ref="C275" authorId="1" shapeId="0">
      <text>
        <r>
          <rPr>
            <sz val="11"/>
            <color theme="1"/>
            <rFont val="Calibri"/>
            <family val="2"/>
            <scheme val="minor"/>
          </rPr>
          <t>Seleccionar un valor del listado</t>
        </r>
      </text>
    </comment>
    <comment ref="D275" authorId="1" shapeId="0">
      <text>
        <r>
          <rPr>
            <sz val="11"/>
            <color theme="1"/>
            <rFont val="Calibri"/>
            <family val="2"/>
            <scheme val="minor"/>
          </rPr>
          <t>Seleccione el tipo de procedimiento</t>
        </r>
      </text>
    </comment>
    <comment ref="E275" authorId="1" shapeId="0">
      <text>
        <r>
          <rPr>
            <sz val="11"/>
            <color theme="1"/>
            <rFont val="Calibri"/>
            <family val="2"/>
            <scheme val="minor"/>
          </rPr>
          <t>Seleccione un valor de la lista</t>
        </r>
      </text>
    </comment>
    <comment ref="F275" authorId="1" shapeId="0">
      <text>
        <r>
          <rPr>
            <sz val="11"/>
            <color theme="1"/>
            <rFont val="Calibri"/>
            <family val="2"/>
            <scheme val="minor"/>
          </rPr>
          <t>Introduzca el código SNIP</t>
        </r>
      </text>
    </comment>
    <comment ref="C276" authorId="1" shapeId="0">
      <text>
        <r>
          <rPr>
            <sz val="11"/>
            <color theme="1"/>
            <rFont val="Calibri"/>
            <family val="2"/>
            <scheme val="minor"/>
          </rPr>
          <t>Introduzca la fecha de inicio del proceso, en formato dd-mm-aaaa</t>
        </r>
      </text>
    </comment>
    <comment ref="F2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7" authorId="1" shapeId="0">
      <text/>
    </comment>
    <comment ref="C278" authorId="1" shapeId="0">
      <text>
        <r>
          <rPr>
            <sz val="11"/>
            <color theme="1"/>
            <rFont val="Calibri"/>
            <family val="2"/>
            <scheme val="minor"/>
          </rPr>
          <t>Introduzca la fecha prevista de adjudicación, en formato dd-mm-aaaa</t>
        </r>
      </text>
    </comment>
    <comment ref="F278" authorId="1" shapeId="0">
      <text/>
    </comment>
    <comment ref="F279" authorId="1" shapeId="0">
      <text/>
    </comment>
    <comment ref="A281" authorId="1" shapeId="0">
      <text>
        <r>
          <rPr>
            <sz val="11"/>
            <color theme="1"/>
            <rFont val="Calibri"/>
            <family val="2"/>
            <scheme val="minor"/>
          </rPr>
          <t>Introduzca un codigo UNSPSC</t>
        </r>
      </text>
    </comment>
    <comment ref="B281" authorId="1" shapeId="0">
      <text>
        <r>
          <rPr>
            <sz val="11"/>
            <color theme="1"/>
            <rFont val="Calibri"/>
            <family val="2"/>
            <scheme val="minor"/>
          </rPr>
          <t>Descripción calculada automáticamente a partir de código del artículo</t>
        </r>
      </text>
    </comment>
    <comment ref="C281" authorId="1" shapeId="0">
      <text>
        <r>
          <rPr>
            <sz val="11"/>
            <color theme="1"/>
            <rFont val="Calibri"/>
            <family val="2"/>
            <scheme val="minor"/>
          </rPr>
          <t>Seleccione un valor de la lista</t>
        </r>
      </text>
    </comment>
    <comment ref="D281" authorId="1" shapeId="0">
      <text>
        <r>
          <rPr>
            <sz val="11"/>
            <color theme="1"/>
            <rFont val="Calibri"/>
            <family val="2"/>
            <scheme val="minor"/>
          </rPr>
          <t>Introduzca un número con dos decimales como máximo. Debe ser igual o mayor a la "Cantidad Real Consumida"</t>
        </r>
      </text>
    </comment>
    <comment ref="E281" authorId="1" shapeId="0">
      <text>
        <r>
          <rPr>
            <sz val="11"/>
            <color theme="1"/>
            <rFont val="Calibri"/>
            <family val="2"/>
            <scheme val="minor"/>
          </rPr>
          <t>Introduzca un número con dos decimales como máximo</t>
        </r>
      </text>
    </comment>
    <comment ref="F281" authorId="1" shapeId="0">
      <text>
        <r>
          <rPr>
            <sz val="11"/>
            <color theme="1"/>
            <rFont val="Calibri"/>
            <family val="2"/>
            <scheme val="minor"/>
          </rPr>
          <t>Monto calculado automáticamente por el sistema</t>
        </r>
      </text>
    </comment>
    <comment ref="A286" authorId="1" shapeId="0">
      <text>
        <r>
          <rPr>
            <sz val="11"/>
            <color theme="1"/>
            <rFont val="Calibri"/>
            <family val="2"/>
            <scheme val="minor"/>
          </rPr>
          <t>Introducir un texto con el nombre o referencia de la contratación</t>
        </r>
      </text>
    </comment>
    <comment ref="B286" authorId="1" shapeId="0">
      <text>
        <r>
          <rPr>
            <sz val="11"/>
            <color theme="1"/>
            <rFont val="Calibri"/>
            <family val="2"/>
            <scheme val="minor"/>
          </rPr>
          <t>Introduzca un texto con la finalidad de la contratación</t>
        </r>
      </text>
    </comment>
    <comment ref="C286" authorId="1" shapeId="0">
      <text>
        <r>
          <rPr>
            <sz val="11"/>
            <color theme="1"/>
            <rFont val="Calibri"/>
            <family val="2"/>
            <scheme val="minor"/>
          </rPr>
          <t>Seleccionar un valor del listado</t>
        </r>
      </text>
    </comment>
    <comment ref="D286" authorId="1" shapeId="0">
      <text>
        <r>
          <rPr>
            <sz val="11"/>
            <color theme="1"/>
            <rFont val="Calibri"/>
            <family val="2"/>
            <scheme val="minor"/>
          </rPr>
          <t>Seleccione el tipo de procedimiento</t>
        </r>
      </text>
    </comment>
    <comment ref="E286" authorId="1" shapeId="0">
      <text>
        <r>
          <rPr>
            <sz val="11"/>
            <color theme="1"/>
            <rFont val="Calibri"/>
            <family val="2"/>
            <scheme val="minor"/>
          </rPr>
          <t>Seleccione un valor de la lista</t>
        </r>
      </text>
    </comment>
    <comment ref="F286" authorId="1" shapeId="0">
      <text>
        <r>
          <rPr>
            <sz val="11"/>
            <color theme="1"/>
            <rFont val="Calibri"/>
            <family val="2"/>
            <scheme val="minor"/>
          </rPr>
          <t>Introduzca el código SNIP</t>
        </r>
      </text>
    </comment>
    <comment ref="C287" authorId="1" shapeId="0">
      <text>
        <r>
          <rPr>
            <sz val="11"/>
            <color theme="1"/>
            <rFont val="Calibri"/>
            <family val="2"/>
            <scheme val="minor"/>
          </rPr>
          <t>Introduzca la fecha de inicio del proceso, en formato dd-mm-aaaa</t>
        </r>
      </text>
    </comment>
    <comment ref="F2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8" authorId="1" shapeId="0">
      <text/>
    </comment>
    <comment ref="C289" authorId="1" shapeId="0">
      <text>
        <r>
          <rPr>
            <sz val="11"/>
            <color theme="1"/>
            <rFont val="Calibri"/>
            <family val="2"/>
            <scheme val="minor"/>
          </rPr>
          <t>Introduzca la fecha prevista de adjudicación, en formato dd-mm-aaaa</t>
        </r>
      </text>
    </comment>
    <comment ref="F289" authorId="1" shapeId="0">
      <text/>
    </comment>
    <comment ref="F290" authorId="1" shapeId="0">
      <text/>
    </comment>
    <comment ref="A292" authorId="1" shapeId="0">
      <text>
        <r>
          <rPr>
            <sz val="11"/>
            <color theme="1"/>
            <rFont val="Calibri"/>
            <family val="2"/>
            <scheme val="minor"/>
          </rPr>
          <t>Introduzca un codigo UNSPSC</t>
        </r>
      </text>
    </comment>
    <comment ref="B292" authorId="1" shapeId="0">
      <text>
        <r>
          <rPr>
            <sz val="11"/>
            <color theme="1"/>
            <rFont val="Calibri"/>
            <family val="2"/>
            <scheme val="minor"/>
          </rPr>
          <t>Descripción calculada automáticamente a partir de código del artículo</t>
        </r>
      </text>
    </comment>
    <comment ref="C292" authorId="1" shapeId="0">
      <text>
        <r>
          <rPr>
            <sz val="11"/>
            <color theme="1"/>
            <rFont val="Calibri"/>
            <family val="2"/>
            <scheme val="minor"/>
          </rPr>
          <t>Seleccione un valor de la lista</t>
        </r>
      </text>
    </comment>
    <comment ref="D292" authorId="1" shapeId="0">
      <text>
        <r>
          <rPr>
            <sz val="11"/>
            <color theme="1"/>
            <rFont val="Calibri"/>
            <family val="2"/>
            <scheme val="minor"/>
          </rPr>
          <t>Introduzca un número con dos decimales como máximo. Debe ser igual o mayor a la "Cantidad Real Consumida"</t>
        </r>
      </text>
    </comment>
    <comment ref="E292" authorId="1" shapeId="0">
      <text>
        <r>
          <rPr>
            <sz val="11"/>
            <color theme="1"/>
            <rFont val="Calibri"/>
            <family val="2"/>
            <scheme val="minor"/>
          </rPr>
          <t>Introduzca un número con dos decimales como máximo</t>
        </r>
      </text>
    </comment>
    <comment ref="F292" authorId="1" shapeId="0">
      <text>
        <r>
          <rPr>
            <sz val="11"/>
            <color theme="1"/>
            <rFont val="Calibri"/>
            <family val="2"/>
            <scheme val="minor"/>
          </rPr>
          <t>Monto calculado automáticamente por el sistema</t>
        </r>
      </text>
    </comment>
    <comment ref="A297" authorId="1" shapeId="0">
      <text>
        <r>
          <rPr>
            <sz val="11"/>
            <color theme="1"/>
            <rFont val="Calibri"/>
            <family val="2"/>
            <scheme val="minor"/>
          </rPr>
          <t>Introducir un texto con el nombre o referencia de la contratación</t>
        </r>
      </text>
    </comment>
    <comment ref="B297" authorId="1" shapeId="0">
      <text>
        <r>
          <rPr>
            <sz val="11"/>
            <color theme="1"/>
            <rFont val="Calibri"/>
            <family val="2"/>
            <scheme val="minor"/>
          </rPr>
          <t>Introduzca un texto con la finalidad de la contratación</t>
        </r>
      </text>
    </comment>
    <comment ref="C297" authorId="1" shapeId="0">
      <text>
        <r>
          <rPr>
            <sz val="11"/>
            <color theme="1"/>
            <rFont val="Calibri"/>
            <family val="2"/>
            <scheme val="minor"/>
          </rPr>
          <t>Seleccionar un valor del listado</t>
        </r>
      </text>
    </comment>
    <comment ref="D297" authorId="1" shapeId="0">
      <text>
        <r>
          <rPr>
            <sz val="11"/>
            <color theme="1"/>
            <rFont val="Calibri"/>
            <family val="2"/>
            <scheme val="minor"/>
          </rPr>
          <t>Seleccione el tipo de procedimiento</t>
        </r>
      </text>
    </comment>
    <comment ref="E297" authorId="1" shapeId="0">
      <text>
        <r>
          <rPr>
            <sz val="11"/>
            <color theme="1"/>
            <rFont val="Calibri"/>
            <family val="2"/>
            <scheme val="minor"/>
          </rPr>
          <t>Seleccione un valor de la lista</t>
        </r>
      </text>
    </comment>
    <comment ref="F297" authorId="1" shapeId="0">
      <text>
        <r>
          <rPr>
            <sz val="11"/>
            <color theme="1"/>
            <rFont val="Calibri"/>
            <family val="2"/>
            <scheme val="minor"/>
          </rPr>
          <t>Introduzca el código SNIP</t>
        </r>
      </text>
    </comment>
    <comment ref="C298" authorId="1" shapeId="0">
      <text>
        <r>
          <rPr>
            <sz val="11"/>
            <color theme="1"/>
            <rFont val="Calibri"/>
            <family val="2"/>
            <scheme val="minor"/>
          </rPr>
          <t>Introduzca la fecha de inicio del proceso, en formato dd-mm-aaaa</t>
        </r>
      </text>
    </comment>
    <comment ref="F2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9" authorId="1" shapeId="0">
      <text/>
    </comment>
    <comment ref="C300" authorId="1" shapeId="0">
      <text>
        <r>
          <rPr>
            <sz val="11"/>
            <color theme="1"/>
            <rFont val="Calibri"/>
            <family val="2"/>
            <scheme val="minor"/>
          </rPr>
          <t>Introduzca la fecha prevista de adjudicación, en formato dd-mm-aaaa</t>
        </r>
      </text>
    </comment>
    <comment ref="F300" authorId="1" shapeId="0">
      <text/>
    </comment>
    <comment ref="F301" authorId="1" shapeId="0">
      <text/>
    </comment>
    <comment ref="A303" authorId="1" shapeId="0">
      <text>
        <r>
          <rPr>
            <sz val="11"/>
            <color theme="1"/>
            <rFont val="Calibri"/>
            <family val="2"/>
            <scheme val="minor"/>
          </rPr>
          <t>Introduzca un codigo UNSPSC</t>
        </r>
      </text>
    </comment>
    <comment ref="B303" authorId="1" shapeId="0">
      <text>
        <r>
          <rPr>
            <sz val="11"/>
            <color theme="1"/>
            <rFont val="Calibri"/>
            <family val="2"/>
            <scheme val="minor"/>
          </rPr>
          <t>Descripción calculada automáticamente a partir de código del artículo</t>
        </r>
      </text>
    </comment>
    <comment ref="C303" authorId="1" shapeId="0">
      <text>
        <r>
          <rPr>
            <sz val="11"/>
            <color theme="1"/>
            <rFont val="Calibri"/>
            <family val="2"/>
            <scheme val="minor"/>
          </rPr>
          <t>Seleccione un valor de la lista</t>
        </r>
      </text>
    </comment>
    <comment ref="D303" authorId="1" shapeId="0">
      <text>
        <r>
          <rPr>
            <sz val="11"/>
            <color theme="1"/>
            <rFont val="Calibri"/>
            <family val="2"/>
            <scheme val="minor"/>
          </rPr>
          <t>Introduzca un número con dos decimales como máximo. Debe ser igual o mayor a la "Cantidad Real Consumida"</t>
        </r>
      </text>
    </comment>
    <comment ref="E303" authorId="1" shapeId="0">
      <text>
        <r>
          <rPr>
            <sz val="11"/>
            <color theme="1"/>
            <rFont val="Calibri"/>
            <family val="2"/>
            <scheme val="minor"/>
          </rPr>
          <t>Introduzca un número con dos decimales como máximo</t>
        </r>
      </text>
    </comment>
    <comment ref="F303" authorId="1" shapeId="0">
      <text>
        <r>
          <rPr>
            <sz val="11"/>
            <color theme="1"/>
            <rFont val="Calibri"/>
            <family val="2"/>
            <scheme val="minor"/>
          </rPr>
          <t>Monto calculado automáticamente por el sistema</t>
        </r>
      </text>
    </comment>
    <comment ref="A310" authorId="1" shapeId="0">
      <text>
        <r>
          <rPr>
            <sz val="11"/>
            <color theme="1"/>
            <rFont val="Calibri"/>
            <family val="2"/>
            <scheme val="minor"/>
          </rPr>
          <t>Introducir un texto con el nombre o referencia de la contratación</t>
        </r>
      </text>
    </comment>
    <comment ref="B310" authorId="1" shapeId="0">
      <text>
        <r>
          <rPr>
            <sz val="11"/>
            <color theme="1"/>
            <rFont val="Calibri"/>
            <family val="2"/>
            <scheme val="minor"/>
          </rPr>
          <t>Introduzca un texto con la finalidad de la contratación</t>
        </r>
      </text>
    </comment>
    <comment ref="C310" authorId="1" shapeId="0">
      <text>
        <r>
          <rPr>
            <sz val="11"/>
            <color theme="1"/>
            <rFont val="Calibri"/>
            <family val="2"/>
            <scheme val="minor"/>
          </rPr>
          <t>Seleccionar un valor del listado</t>
        </r>
      </text>
    </comment>
    <comment ref="D310" authorId="1" shapeId="0">
      <text>
        <r>
          <rPr>
            <sz val="11"/>
            <color theme="1"/>
            <rFont val="Calibri"/>
            <family val="2"/>
            <scheme val="minor"/>
          </rPr>
          <t>Seleccione el tipo de procedimiento</t>
        </r>
      </text>
    </comment>
    <comment ref="E310" authorId="1" shapeId="0">
      <text>
        <r>
          <rPr>
            <sz val="11"/>
            <color theme="1"/>
            <rFont val="Calibri"/>
            <family val="2"/>
            <scheme val="minor"/>
          </rPr>
          <t>Seleccione un valor de la lista</t>
        </r>
      </text>
    </comment>
    <comment ref="F310" authorId="1" shapeId="0">
      <text>
        <r>
          <rPr>
            <sz val="11"/>
            <color theme="1"/>
            <rFont val="Calibri"/>
            <family val="2"/>
            <scheme val="minor"/>
          </rPr>
          <t>Introduzca el código SNIP</t>
        </r>
      </text>
    </comment>
    <comment ref="C311" authorId="1" shapeId="0">
      <text>
        <r>
          <rPr>
            <sz val="11"/>
            <color theme="1"/>
            <rFont val="Calibri"/>
            <family val="2"/>
            <scheme val="minor"/>
          </rPr>
          <t>Introduzca la fecha de inicio del proceso, en formato dd-mm-aaaa</t>
        </r>
      </text>
    </comment>
    <comment ref="F3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2" authorId="1" shapeId="0">
      <text/>
    </comment>
    <comment ref="C313" authorId="1" shapeId="0">
      <text>
        <r>
          <rPr>
            <sz val="11"/>
            <color theme="1"/>
            <rFont val="Calibri"/>
            <family val="2"/>
            <scheme val="minor"/>
          </rPr>
          <t>Introduzca la fecha prevista de adjudicación, en formato dd-mm-aaaa</t>
        </r>
      </text>
    </comment>
    <comment ref="F313" authorId="1" shapeId="0">
      <text/>
    </comment>
    <comment ref="F314" authorId="1" shapeId="0">
      <text/>
    </comment>
    <comment ref="A316" authorId="1" shapeId="0">
      <text>
        <r>
          <rPr>
            <sz val="11"/>
            <color theme="1"/>
            <rFont val="Calibri"/>
            <family val="2"/>
            <scheme val="minor"/>
          </rPr>
          <t>Introduzca un codigo UNSPSC</t>
        </r>
      </text>
    </comment>
    <comment ref="B316" authorId="1" shapeId="0">
      <text>
        <r>
          <rPr>
            <sz val="11"/>
            <color theme="1"/>
            <rFont val="Calibri"/>
            <family val="2"/>
            <scheme val="minor"/>
          </rPr>
          <t>Descripción calculada automáticamente a partir de código del artículo</t>
        </r>
      </text>
    </comment>
    <comment ref="C316" authorId="1" shapeId="0">
      <text>
        <r>
          <rPr>
            <sz val="11"/>
            <color theme="1"/>
            <rFont val="Calibri"/>
            <family val="2"/>
            <scheme val="minor"/>
          </rPr>
          <t>Seleccione un valor de la lista</t>
        </r>
      </text>
    </comment>
    <comment ref="D316" authorId="1" shapeId="0">
      <text>
        <r>
          <rPr>
            <sz val="11"/>
            <color theme="1"/>
            <rFont val="Calibri"/>
            <family val="2"/>
            <scheme val="minor"/>
          </rPr>
          <t>Introduzca un número con dos decimales como máximo. Debe ser igual o mayor a la "Cantidad Real Consumida"</t>
        </r>
      </text>
    </comment>
    <comment ref="E316" authorId="1" shapeId="0">
      <text>
        <r>
          <rPr>
            <sz val="11"/>
            <color theme="1"/>
            <rFont val="Calibri"/>
            <family val="2"/>
            <scheme val="minor"/>
          </rPr>
          <t>Introduzca un número con dos decimales como máximo</t>
        </r>
      </text>
    </comment>
    <comment ref="F316" authorId="1" shapeId="0">
      <text>
        <r>
          <rPr>
            <sz val="11"/>
            <color theme="1"/>
            <rFont val="Calibri"/>
            <family val="2"/>
            <scheme val="minor"/>
          </rPr>
          <t>Monto calculado automáticamente por el sistema</t>
        </r>
      </text>
    </comment>
    <comment ref="A322" authorId="1" shapeId="0">
      <text>
        <r>
          <rPr>
            <sz val="11"/>
            <color theme="1"/>
            <rFont val="Calibri"/>
            <family val="2"/>
            <scheme val="minor"/>
          </rPr>
          <t>Introducir un texto con el nombre o referencia de la contratación</t>
        </r>
      </text>
    </comment>
    <comment ref="B322" authorId="1" shapeId="0">
      <text>
        <r>
          <rPr>
            <sz val="11"/>
            <color theme="1"/>
            <rFont val="Calibri"/>
            <family val="2"/>
            <scheme val="minor"/>
          </rPr>
          <t>Introduzca un texto con la finalidad de la contratación</t>
        </r>
      </text>
    </comment>
    <comment ref="C322" authorId="1" shapeId="0">
      <text>
        <r>
          <rPr>
            <sz val="11"/>
            <color theme="1"/>
            <rFont val="Calibri"/>
            <family val="2"/>
            <scheme val="minor"/>
          </rPr>
          <t>Seleccionar un valor del listado</t>
        </r>
      </text>
    </comment>
    <comment ref="D322" authorId="1" shapeId="0">
      <text>
        <r>
          <rPr>
            <sz val="11"/>
            <color theme="1"/>
            <rFont val="Calibri"/>
            <family val="2"/>
            <scheme val="minor"/>
          </rPr>
          <t>Seleccione el tipo de procedimiento</t>
        </r>
      </text>
    </comment>
    <comment ref="E322" authorId="1" shapeId="0">
      <text>
        <r>
          <rPr>
            <sz val="11"/>
            <color theme="1"/>
            <rFont val="Calibri"/>
            <family val="2"/>
            <scheme val="minor"/>
          </rPr>
          <t>Seleccione un valor de la lista</t>
        </r>
      </text>
    </comment>
    <comment ref="F322" authorId="1" shapeId="0">
      <text>
        <r>
          <rPr>
            <sz val="11"/>
            <color theme="1"/>
            <rFont val="Calibri"/>
            <family val="2"/>
            <scheme val="minor"/>
          </rPr>
          <t>Introduzca el código SNIP</t>
        </r>
      </text>
    </comment>
    <comment ref="C323" authorId="1" shapeId="0">
      <text>
        <r>
          <rPr>
            <sz val="11"/>
            <color theme="1"/>
            <rFont val="Calibri"/>
            <family val="2"/>
            <scheme val="minor"/>
          </rPr>
          <t>Introduzca la fecha de inicio del proceso, en formato dd-mm-aaaa</t>
        </r>
      </text>
    </comment>
    <comment ref="F3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1" shapeId="0">
      <text/>
    </comment>
    <comment ref="C325" authorId="1" shapeId="0">
      <text>
        <r>
          <rPr>
            <sz val="11"/>
            <color theme="1"/>
            <rFont val="Calibri"/>
            <family val="2"/>
            <scheme val="minor"/>
          </rPr>
          <t>Introduzca la fecha prevista de adjudicación, en formato dd-mm-aaaa</t>
        </r>
      </text>
    </comment>
    <comment ref="F325" authorId="1" shapeId="0">
      <text/>
    </comment>
    <comment ref="F326" authorId="1" shapeId="0">
      <text/>
    </comment>
    <comment ref="A328" authorId="1" shapeId="0">
      <text>
        <r>
          <rPr>
            <sz val="11"/>
            <color theme="1"/>
            <rFont val="Calibri"/>
            <family val="2"/>
            <scheme val="minor"/>
          </rPr>
          <t>Introduzca un codigo UNSPSC</t>
        </r>
      </text>
    </comment>
    <comment ref="B328" authorId="1" shapeId="0">
      <text>
        <r>
          <rPr>
            <sz val="11"/>
            <color theme="1"/>
            <rFont val="Calibri"/>
            <family val="2"/>
            <scheme val="minor"/>
          </rPr>
          <t>Descripción calculada automáticamente a partir de código del artículo</t>
        </r>
      </text>
    </comment>
    <comment ref="C328" authorId="1" shapeId="0">
      <text>
        <r>
          <rPr>
            <sz val="11"/>
            <color theme="1"/>
            <rFont val="Calibri"/>
            <family val="2"/>
            <scheme val="minor"/>
          </rPr>
          <t>Seleccione un valor de la lista</t>
        </r>
      </text>
    </comment>
    <comment ref="D328" authorId="1" shapeId="0">
      <text>
        <r>
          <rPr>
            <sz val="11"/>
            <color theme="1"/>
            <rFont val="Calibri"/>
            <family val="2"/>
            <scheme val="minor"/>
          </rPr>
          <t>Introduzca un número con dos decimales como máximo. Debe ser igual o mayor a la "Cantidad Real Consumida"</t>
        </r>
      </text>
    </comment>
    <comment ref="E328" authorId="1" shapeId="0">
      <text>
        <r>
          <rPr>
            <sz val="11"/>
            <color theme="1"/>
            <rFont val="Calibri"/>
            <family val="2"/>
            <scheme val="minor"/>
          </rPr>
          <t>Introduzca un número con dos decimales como máximo</t>
        </r>
      </text>
    </comment>
    <comment ref="F328" authorId="1" shapeId="0">
      <text>
        <r>
          <rPr>
            <sz val="11"/>
            <color theme="1"/>
            <rFont val="Calibri"/>
            <family val="2"/>
            <scheme val="minor"/>
          </rPr>
          <t>Monto calculado automáticamente por el sistema</t>
        </r>
      </text>
    </comment>
    <comment ref="A334" authorId="1" shapeId="0">
      <text>
        <r>
          <rPr>
            <sz val="11"/>
            <color theme="1"/>
            <rFont val="Calibri"/>
            <family val="2"/>
            <scheme val="minor"/>
          </rPr>
          <t>Introducir un texto con el nombre o referencia de la contratación</t>
        </r>
      </text>
    </comment>
    <comment ref="B334" authorId="1" shapeId="0">
      <text>
        <r>
          <rPr>
            <sz val="11"/>
            <color theme="1"/>
            <rFont val="Calibri"/>
            <family val="2"/>
            <scheme val="minor"/>
          </rPr>
          <t>Introduzca un texto con la finalidad de la contratación</t>
        </r>
      </text>
    </comment>
    <comment ref="C334" authorId="1" shapeId="0">
      <text>
        <r>
          <rPr>
            <sz val="11"/>
            <color theme="1"/>
            <rFont val="Calibri"/>
            <family val="2"/>
            <scheme val="minor"/>
          </rPr>
          <t>Seleccionar un valor del listado</t>
        </r>
      </text>
    </comment>
    <comment ref="D334" authorId="1" shapeId="0">
      <text>
        <r>
          <rPr>
            <sz val="11"/>
            <color theme="1"/>
            <rFont val="Calibri"/>
            <family val="2"/>
            <scheme val="minor"/>
          </rPr>
          <t>Seleccione el tipo de procedimiento</t>
        </r>
      </text>
    </comment>
    <comment ref="E334" authorId="1" shapeId="0">
      <text>
        <r>
          <rPr>
            <sz val="11"/>
            <color theme="1"/>
            <rFont val="Calibri"/>
            <family val="2"/>
            <scheme val="minor"/>
          </rPr>
          <t>Seleccione un valor de la lista</t>
        </r>
      </text>
    </comment>
    <comment ref="F334" authorId="1" shapeId="0">
      <text>
        <r>
          <rPr>
            <sz val="11"/>
            <color theme="1"/>
            <rFont val="Calibri"/>
            <family val="2"/>
            <scheme val="minor"/>
          </rPr>
          <t>Introduzca el código SNIP</t>
        </r>
      </text>
    </comment>
    <comment ref="C335" authorId="1" shapeId="0">
      <text>
        <r>
          <rPr>
            <sz val="11"/>
            <color theme="1"/>
            <rFont val="Calibri"/>
            <family val="2"/>
            <scheme val="minor"/>
          </rPr>
          <t>Introduzca la fecha de inicio del proceso, en formato dd-mm-aaaa</t>
        </r>
      </text>
    </comment>
    <comment ref="F3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6" authorId="1" shapeId="0">
      <text/>
    </comment>
    <comment ref="C337" authorId="1" shapeId="0">
      <text>
        <r>
          <rPr>
            <sz val="11"/>
            <color theme="1"/>
            <rFont val="Calibri"/>
            <family val="2"/>
            <scheme val="minor"/>
          </rPr>
          <t>Introduzca la fecha prevista de adjudicación, en formato dd-mm-aaaa</t>
        </r>
      </text>
    </comment>
    <comment ref="F337" authorId="1" shapeId="0">
      <text/>
    </comment>
    <comment ref="F338" authorId="1" shapeId="0">
      <text/>
    </comment>
    <comment ref="A340" authorId="1" shapeId="0">
      <text>
        <r>
          <rPr>
            <sz val="11"/>
            <color theme="1"/>
            <rFont val="Calibri"/>
            <family val="2"/>
            <scheme val="minor"/>
          </rPr>
          <t>Introduzca un codigo UNSPSC</t>
        </r>
      </text>
    </comment>
    <comment ref="B340" authorId="1" shapeId="0">
      <text>
        <r>
          <rPr>
            <sz val="11"/>
            <color theme="1"/>
            <rFont val="Calibri"/>
            <family val="2"/>
            <scheme val="minor"/>
          </rPr>
          <t>Descripción calculada automáticamente a partir de código del artículo</t>
        </r>
      </text>
    </comment>
    <comment ref="C340" authorId="1" shapeId="0">
      <text>
        <r>
          <rPr>
            <sz val="11"/>
            <color theme="1"/>
            <rFont val="Calibri"/>
            <family val="2"/>
            <scheme val="minor"/>
          </rPr>
          <t>Seleccione un valor de la lista</t>
        </r>
      </text>
    </comment>
    <comment ref="D340" authorId="1" shapeId="0">
      <text>
        <r>
          <rPr>
            <sz val="11"/>
            <color theme="1"/>
            <rFont val="Calibri"/>
            <family val="2"/>
            <scheme val="minor"/>
          </rPr>
          <t>Introduzca un número con dos decimales como máximo. Debe ser igual o mayor a la "Cantidad Real Consumida"</t>
        </r>
      </text>
    </comment>
    <comment ref="E340" authorId="1" shapeId="0">
      <text>
        <r>
          <rPr>
            <sz val="11"/>
            <color theme="1"/>
            <rFont val="Calibri"/>
            <family val="2"/>
            <scheme val="minor"/>
          </rPr>
          <t>Introduzca un número con dos decimales como máximo</t>
        </r>
      </text>
    </comment>
    <comment ref="F340" authorId="1" shapeId="0">
      <text>
        <r>
          <rPr>
            <sz val="11"/>
            <color theme="1"/>
            <rFont val="Calibri"/>
            <family val="2"/>
            <scheme val="minor"/>
          </rPr>
          <t>Monto calculado automáticamente por el sistema</t>
        </r>
      </text>
    </comment>
    <comment ref="A347" authorId="1" shapeId="0">
      <text>
        <r>
          <rPr>
            <sz val="11"/>
            <color theme="1"/>
            <rFont val="Calibri"/>
            <family val="2"/>
            <scheme val="minor"/>
          </rPr>
          <t>Introducir un texto con el nombre o referencia de la contratación</t>
        </r>
      </text>
    </comment>
    <comment ref="B347" authorId="1" shapeId="0">
      <text>
        <r>
          <rPr>
            <sz val="11"/>
            <color theme="1"/>
            <rFont val="Calibri"/>
            <family val="2"/>
            <scheme val="minor"/>
          </rPr>
          <t>Introduzca un texto con la finalidad de la contratación</t>
        </r>
      </text>
    </comment>
    <comment ref="C347" authorId="1" shapeId="0">
      <text>
        <r>
          <rPr>
            <sz val="11"/>
            <color theme="1"/>
            <rFont val="Calibri"/>
            <family val="2"/>
            <scheme val="minor"/>
          </rPr>
          <t>Seleccionar un valor del listado</t>
        </r>
      </text>
    </comment>
    <comment ref="D347" authorId="1" shapeId="0">
      <text>
        <r>
          <rPr>
            <sz val="11"/>
            <color theme="1"/>
            <rFont val="Calibri"/>
            <family val="2"/>
            <scheme val="minor"/>
          </rPr>
          <t>Seleccione el tipo de procedimiento</t>
        </r>
      </text>
    </comment>
    <comment ref="E347" authorId="1" shapeId="0">
      <text>
        <r>
          <rPr>
            <sz val="11"/>
            <color theme="1"/>
            <rFont val="Calibri"/>
            <family val="2"/>
            <scheme val="minor"/>
          </rPr>
          <t>Seleccione un valor de la lista</t>
        </r>
      </text>
    </comment>
    <comment ref="F347" authorId="1" shapeId="0">
      <text>
        <r>
          <rPr>
            <sz val="11"/>
            <color theme="1"/>
            <rFont val="Calibri"/>
            <family val="2"/>
            <scheme val="minor"/>
          </rPr>
          <t>Introduzca el código SNIP</t>
        </r>
      </text>
    </comment>
    <comment ref="C348" authorId="1" shapeId="0">
      <text>
        <r>
          <rPr>
            <sz val="11"/>
            <color theme="1"/>
            <rFont val="Calibri"/>
            <family val="2"/>
            <scheme val="minor"/>
          </rPr>
          <t>Introduzca la fecha de inicio del proceso, en formato dd-mm-aaaa</t>
        </r>
      </text>
    </comment>
    <comment ref="F3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9" authorId="1" shapeId="0">
      <text/>
    </comment>
    <comment ref="C350" authorId="1" shapeId="0">
      <text>
        <r>
          <rPr>
            <sz val="11"/>
            <color theme="1"/>
            <rFont val="Calibri"/>
            <family val="2"/>
            <scheme val="minor"/>
          </rPr>
          <t>Introduzca la fecha prevista de adjudicación, en formato dd-mm-aaaa</t>
        </r>
      </text>
    </comment>
    <comment ref="F350" authorId="1" shapeId="0">
      <text/>
    </comment>
    <comment ref="F351" authorId="1" shapeId="0">
      <text/>
    </comment>
    <comment ref="A353" authorId="1" shapeId="0">
      <text>
        <r>
          <rPr>
            <sz val="11"/>
            <color theme="1"/>
            <rFont val="Calibri"/>
            <family val="2"/>
            <scheme val="minor"/>
          </rPr>
          <t>Introduzca un codigo UNSPSC</t>
        </r>
      </text>
    </comment>
    <comment ref="B353" authorId="1" shapeId="0">
      <text>
        <r>
          <rPr>
            <sz val="11"/>
            <color theme="1"/>
            <rFont val="Calibri"/>
            <family val="2"/>
            <scheme val="minor"/>
          </rPr>
          <t>Descripción calculada automáticamente a partir de código del artículo</t>
        </r>
      </text>
    </comment>
    <comment ref="C353" authorId="1" shapeId="0">
      <text>
        <r>
          <rPr>
            <sz val="11"/>
            <color theme="1"/>
            <rFont val="Calibri"/>
            <family val="2"/>
            <scheme val="minor"/>
          </rPr>
          <t>Seleccione un valor de la lista</t>
        </r>
      </text>
    </comment>
    <comment ref="D353" authorId="1" shapeId="0">
      <text>
        <r>
          <rPr>
            <sz val="11"/>
            <color theme="1"/>
            <rFont val="Calibri"/>
            <family val="2"/>
            <scheme val="minor"/>
          </rPr>
          <t>Introduzca un número con dos decimales como máximo. Debe ser igual o mayor a la "Cantidad Real Consumida"</t>
        </r>
      </text>
    </comment>
    <comment ref="E353" authorId="1" shapeId="0">
      <text>
        <r>
          <rPr>
            <sz val="11"/>
            <color theme="1"/>
            <rFont val="Calibri"/>
            <family val="2"/>
            <scheme val="minor"/>
          </rPr>
          <t>Introduzca un número con dos decimales como máximo</t>
        </r>
      </text>
    </comment>
    <comment ref="F353" authorId="1" shapeId="0">
      <text>
        <r>
          <rPr>
            <sz val="11"/>
            <color theme="1"/>
            <rFont val="Calibri"/>
            <family val="2"/>
            <scheme val="minor"/>
          </rPr>
          <t>Monto calculado automáticamente por el sistema</t>
        </r>
      </text>
    </comment>
    <comment ref="A358" authorId="1" shapeId="0">
      <text>
        <r>
          <rPr>
            <sz val="11"/>
            <color theme="1"/>
            <rFont val="Calibri"/>
            <family val="2"/>
            <scheme val="minor"/>
          </rPr>
          <t>Introducir un texto con el nombre o referencia de la contratación</t>
        </r>
      </text>
    </comment>
    <comment ref="B358" authorId="1" shapeId="0">
      <text>
        <r>
          <rPr>
            <sz val="11"/>
            <color theme="1"/>
            <rFont val="Calibri"/>
            <family val="2"/>
            <scheme val="minor"/>
          </rPr>
          <t>Introduzca un texto con la finalidad de la contratación</t>
        </r>
      </text>
    </comment>
    <comment ref="C358" authorId="1" shapeId="0">
      <text>
        <r>
          <rPr>
            <sz val="11"/>
            <color theme="1"/>
            <rFont val="Calibri"/>
            <family val="2"/>
            <scheme val="minor"/>
          </rPr>
          <t>Seleccionar un valor del listado</t>
        </r>
      </text>
    </comment>
    <comment ref="D358" authorId="1" shapeId="0">
      <text>
        <r>
          <rPr>
            <sz val="11"/>
            <color theme="1"/>
            <rFont val="Calibri"/>
            <family val="2"/>
            <scheme val="minor"/>
          </rPr>
          <t>Seleccione el tipo de procedimiento</t>
        </r>
      </text>
    </comment>
    <comment ref="E358" authorId="1" shapeId="0">
      <text>
        <r>
          <rPr>
            <sz val="11"/>
            <color theme="1"/>
            <rFont val="Calibri"/>
            <family val="2"/>
            <scheme val="minor"/>
          </rPr>
          <t>Seleccione un valor de la lista</t>
        </r>
      </text>
    </comment>
    <comment ref="F358" authorId="1" shapeId="0">
      <text>
        <r>
          <rPr>
            <sz val="11"/>
            <color theme="1"/>
            <rFont val="Calibri"/>
            <family val="2"/>
            <scheme val="minor"/>
          </rPr>
          <t>Introduzca el código SNIP</t>
        </r>
      </text>
    </comment>
    <comment ref="C359" authorId="1" shapeId="0">
      <text>
        <r>
          <rPr>
            <sz val="11"/>
            <color theme="1"/>
            <rFont val="Calibri"/>
            <family val="2"/>
            <scheme val="minor"/>
          </rPr>
          <t>Introduzca la fecha de inicio del proceso, en formato dd-mm-aaaa</t>
        </r>
      </text>
    </comment>
    <comment ref="F3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1" shapeId="0">
      <text/>
    </comment>
    <comment ref="C361" authorId="1" shapeId="0">
      <text>
        <r>
          <rPr>
            <sz val="11"/>
            <color theme="1"/>
            <rFont val="Calibri"/>
            <family val="2"/>
            <scheme val="minor"/>
          </rPr>
          <t>Introduzca la fecha prevista de adjudicación, en formato dd-mm-aaaa</t>
        </r>
      </text>
    </comment>
    <comment ref="F361" authorId="1" shapeId="0">
      <text/>
    </comment>
    <comment ref="F362" authorId="1" shapeId="0">
      <text/>
    </comment>
    <comment ref="A364" authorId="1" shapeId="0">
      <text>
        <r>
          <rPr>
            <sz val="11"/>
            <color theme="1"/>
            <rFont val="Calibri"/>
            <family val="2"/>
            <scheme val="minor"/>
          </rPr>
          <t>Introduzca un codigo UNSPSC</t>
        </r>
      </text>
    </comment>
    <comment ref="B364" authorId="1" shapeId="0">
      <text>
        <r>
          <rPr>
            <sz val="11"/>
            <color theme="1"/>
            <rFont val="Calibri"/>
            <family val="2"/>
            <scheme val="minor"/>
          </rPr>
          <t>Descripción calculada automáticamente a partir de código del artículo</t>
        </r>
      </text>
    </comment>
    <comment ref="C364" authorId="1" shapeId="0">
      <text>
        <r>
          <rPr>
            <sz val="11"/>
            <color theme="1"/>
            <rFont val="Calibri"/>
            <family val="2"/>
            <scheme val="minor"/>
          </rPr>
          <t>Seleccione un valor de la lista</t>
        </r>
      </text>
    </comment>
    <comment ref="D364" authorId="1" shapeId="0">
      <text>
        <r>
          <rPr>
            <sz val="11"/>
            <color theme="1"/>
            <rFont val="Calibri"/>
            <family val="2"/>
            <scheme val="minor"/>
          </rPr>
          <t>Introduzca un número con dos decimales como máximo. Debe ser igual o mayor a la "Cantidad Real Consumida"</t>
        </r>
      </text>
    </comment>
    <comment ref="E364" authorId="1" shapeId="0">
      <text>
        <r>
          <rPr>
            <sz val="11"/>
            <color theme="1"/>
            <rFont val="Calibri"/>
            <family val="2"/>
            <scheme val="minor"/>
          </rPr>
          <t>Introduzca un número con dos decimales como máximo</t>
        </r>
      </text>
    </comment>
    <comment ref="F364" authorId="1" shapeId="0">
      <text>
        <r>
          <rPr>
            <sz val="11"/>
            <color theme="1"/>
            <rFont val="Calibri"/>
            <family val="2"/>
            <scheme val="minor"/>
          </rPr>
          <t>Monto calculado automáticamente por el sistema</t>
        </r>
      </text>
    </comment>
    <comment ref="A369" authorId="1" shapeId="0">
      <text>
        <r>
          <rPr>
            <sz val="11"/>
            <color theme="1"/>
            <rFont val="Calibri"/>
            <family val="2"/>
            <scheme val="minor"/>
          </rPr>
          <t>Introducir un texto con el nombre o referencia de la contratación</t>
        </r>
      </text>
    </comment>
    <comment ref="B369" authorId="1" shapeId="0">
      <text>
        <r>
          <rPr>
            <sz val="11"/>
            <color theme="1"/>
            <rFont val="Calibri"/>
            <family val="2"/>
            <scheme val="minor"/>
          </rPr>
          <t>Introduzca un texto con la finalidad de la contratación</t>
        </r>
      </text>
    </comment>
    <comment ref="C369" authorId="1" shapeId="0">
      <text>
        <r>
          <rPr>
            <sz val="11"/>
            <color theme="1"/>
            <rFont val="Calibri"/>
            <family val="2"/>
            <scheme val="minor"/>
          </rPr>
          <t>Seleccionar un valor del listado</t>
        </r>
      </text>
    </comment>
    <comment ref="D369" authorId="1" shapeId="0">
      <text>
        <r>
          <rPr>
            <sz val="11"/>
            <color theme="1"/>
            <rFont val="Calibri"/>
            <family val="2"/>
            <scheme val="minor"/>
          </rPr>
          <t>Seleccione el tipo de procedimiento</t>
        </r>
      </text>
    </comment>
    <comment ref="E369" authorId="1" shapeId="0">
      <text>
        <r>
          <rPr>
            <sz val="11"/>
            <color theme="1"/>
            <rFont val="Calibri"/>
            <family val="2"/>
            <scheme val="minor"/>
          </rPr>
          <t>Seleccione un valor de la lista</t>
        </r>
      </text>
    </comment>
    <comment ref="F369" authorId="1" shapeId="0">
      <text>
        <r>
          <rPr>
            <sz val="11"/>
            <color theme="1"/>
            <rFont val="Calibri"/>
            <family val="2"/>
            <scheme val="minor"/>
          </rPr>
          <t>Introduzca el código SNIP</t>
        </r>
      </text>
    </comment>
    <comment ref="C370" authorId="1" shapeId="0">
      <text>
        <r>
          <rPr>
            <sz val="11"/>
            <color theme="1"/>
            <rFont val="Calibri"/>
            <family val="2"/>
            <scheme val="minor"/>
          </rPr>
          <t>Introduzca la fecha de inicio del proceso, en formato dd-mm-aaaa</t>
        </r>
      </text>
    </comment>
    <comment ref="F3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1" authorId="1" shapeId="0">
      <text/>
    </comment>
    <comment ref="C372" authorId="1" shapeId="0">
      <text>
        <r>
          <rPr>
            <sz val="11"/>
            <color theme="1"/>
            <rFont val="Calibri"/>
            <family val="2"/>
            <scheme val="minor"/>
          </rPr>
          <t>Introduzca la fecha prevista de adjudicación, en formato dd-mm-aaaa</t>
        </r>
      </text>
    </comment>
    <comment ref="F372" authorId="1" shapeId="0">
      <text/>
    </comment>
    <comment ref="F373" authorId="1" shapeId="0">
      <text/>
    </comment>
    <comment ref="A375" authorId="1" shapeId="0">
      <text>
        <r>
          <rPr>
            <sz val="11"/>
            <color theme="1"/>
            <rFont val="Calibri"/>
            <family val="2"/>
            <scheme val="minor"/>
          </rPr>
          <t>Introduzca un codigo UNSPSC</t>
        </r>
      </text>
    </comment>
    <comment ref="B375" authorId="1" shapeId="0">
      <text>
        <r>
          <rPr>
            <sz val="11"/>
            <color theme="1"/>
            <rFont val="Calibri"/>
            <family val="2"/>
            <scheme val="minor"/>
          </rPr>
          <t>Descripción calculada automáticamente a partir de código del artículo</t>
        </r>
      </text>
    </comment>
    <comment ref="C375" authorId="1" shapeId="0">
      <text>
        <r>
          <rPr>
            <sz val="11"/>
            <color theme="1"/>
            <rFont val="Calibri"/>
            <family val="2"/>
            <scheme val="minor"/>
          </rPr>
          <t>Seleccione un valor de la lista</t>
        </r>
      </text>
    </comment>
    <comment ref="D375" authorId="1" shapeId="0">
      <text>
        <r>
          <rPr>
            <sz val="11"/>
            <color theme="1"/>
            <rFont val="Calibri"/>
            <family val="2"/>
            <scheme val="minor"/>
          </rPr>
          <t>Introduzca un número con dos decimales como máximo. Debe ser igual o mayor a la "Cantidad Real Consumida"</t>
        </r>
      </text>
    </comment>
    <comment ref="E375" authorId="1" shapeId="0">
      <text>
        <r>
          <rPr>
            <sz val="11"/>
            <color theme="1"/>
            <rFont val="Calibri"/>
            <family val="2"/>
            <scheme val="minor"/>
          </rPr>
          <t>Introduzca un número con dos decimales como máximo</t>
        </r>
      </text>
    </comment>
    <comment ref="F375" authorId="1" shapeId="0">
      <text>
        <r>
          <rPr>
            <sz val="11"/>
            <color theme="1"/>
            <rFont val="Calibri"/>
            <family val="2"/>
            <scheme val="minor"/>
          </rPr>
          <t>Monto calculado automáticamente por el sistema</t>
        </r>
      </text>
    </comment>
    <comment ref="A380" authorId="1" shapeId="0">
      <text>
        <r>
          <rPr>
            <sz val="11"/>
            <color theme="1"/>
            <rFont val="Calibri"/>
            <family val="2"/>
            <scheme val="minor"/>
          </rPr>
          <t>Introducir un texto con el nombre o referencia de la contratación</t>
        </r>
      </text>
    </comment>
    <comment ref="B380" authorId="1" shapeId="0">
      <text>
        <r>
          <rPr>
            <sz val="11"/>
            <color theme="1"/>
            <rFont val="Calibri"/>
            <family val="2"/>
            <scheme val="minor"/>
          </rPr>
          <t>Introduzca un texto con la finalidad de la contratación</t>
        </r>
      </text>
    </comment>
    <comment ref="C380" authorId="1" shapeId="0">
      <text>
        <r>
          <rPr>
            <sz val="11"/>
            <color theme="1"/>
            <rFont val="Calibri"/>
            <family val="2"/>
            <scheme val="minor"/>
          </rPr>
          <t>Seleccionar un valor del listado</t>
        </r>
      </text>
    </comment>
    <comment ref="D380" authorId="1" shapeId="0">
      <text>
        <r>
          <rPr>
            <sz val="11"/>
            <color theme="1"/>
            <rFont val="Calibri"/>
            <family val="2"/>
            <scheme val="minor"/>
          </rPr>
          <t>Seleccione el tipo de procedimiento</t>
        </r>
      </text>
    </comment>
    <comment ref="E380" authorId="1" shapeId="0">
      <text>
        <r>
          <rPr>
            <sz val="11"/>
            <color theme="1"/>
            <rFont val="Calibri"/>
            <family val="2"/>
            <scheme val="minor"/>
          </rPr>
          <t>Seleccione un valor de la lista</t>
        </r>
      </text>
    </comment>
    <comment ref="F380" authorId="1" shapeId="0">
      <text>
        <r>
          <rPr>
            <sz val="11"/>
            <color theme="1"/>
            <rFont val="Calibri"/>
            <family val="2"/>
            <scheme val="minor"/>
          </rPr>
          <t>Introduzca el código SNIP</t>
        </r>
      </text>
    </comment>
    <comment ref="C381" authorId="1" shapeId="0">
      <text>
        <r>
          <rPr>
            <sz val="11"/>
            <color theme="1"/>
            <rFont val="Calibri"/>
            <family val="2"/>
            <scheme val="minor"/>
          </rPr>
          <t>Introduzca la fecha de inicio del proceso, en formato dd-mm-aaaa</t>
        </r>
      </text>
    </comment>
    <comment ref="F3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2" authorId="1" shapeId="0">
      <text/>
    </comment>
    <comment ref="C383" authorId="1" shapeId="0">
      <text>
        <r>
          <rPr>
            <sz val="11"/>
            <color theme="1"/>
            <rFont val="Calibri"/>
            <family val="2"/>
            <scheme val="minor"/>
          </rPr>
          <t>Introduzca la fecha prevista de adjudicación, en formato dd-mm-aaaa</t>
        </r>
      </text>
    </comment>
    <comment ref="F383" authorId="1" shapeId="0">
      <text/>
    </comment>
    <comment ref="F384" authorId="1" shapeId="0">
      <text/>
    </comment>
    <comment ref="A386" authorId="1" shapeId="0">
      <text>
        <r>
          <rPr>
            <sz val="11"/>
            <color theme="1"/>
            <rFont val="Calibri"/>
            <family val="2"/>
            <scheme val="minor"/>
          </rPr>
          <t>Introduzca un codigo UNSPSC</t>
        </r>
      </text>
    </comment>
    <comment ref="B386" authorId="1" shapeId="0">
      <text>
        <r>
          <rPr>
            <sz val="11"/>
            <color theme="1"/>
            <rFont val="Calibri"/>
            <family val="2"/>
            <scheme val="minor"/>
          </rPr>
          <t>Descripción calculada automáticamente a partir de código del artículo</t>
        </r>
      </text>
    </comment>
    <comment ref="C386" authorId="1" shapeId="0">
      <text>
        <r>
          <rPr>
            <sz val="11"/>
            <color theme="1"/>
            <rFont val="Calibri"/>
            <family val="2"/>
            <scheme val="minor"/>
          </rPr>
          <t>Seleccione un valor de la lista</t>
        </r>
      </text>
    </comment>
    <comment ref="D386" authorId="1" shapeId="0">
      <text>
        <r>
          <rPr>
            <sz val="11"/>
            <color theme="1"/>
            <rFont val="Calibri"/>
            <family val="2"/>
            <scheme val="minor"/>
          </rPr>
          <t>Introduzca un número con dos decimales como máximo. Debe ser igual o mayor a la "Cantidad Real Consumida"</t>
        </r>
      </text>
    </comment>
    <comment ref="E386" authorId="1" shapeId="0">
      <text>
        <r>
          <rPr>
            <sz val="11"/>
            <color theme="1"/>
            <rFont val="Calibri"/>
            <family val="2"/>
            <scheme val="minor"/>
          </rPr>
          <t>Introduzca un número con dos decimales como máximo</t>
        </r>
      </text>
    </comment>
    <comment ref="F386" authorId="1" shapeId="0">
      <text>
        <r>
          <rPr>
            <sz val="11"/>
            <color theme="1"/>
            <rFont val="Calibri"/>
            <family val="2"/>
            <scheme val="minor"/>
          </rPr>
          <t>Monto calculado automáticamente por el sistema</t>
        </r>
      </text>
    </comment>
    <comment ref="A391" authorId="1" shapeId="0">
      <text>
        <r>
          <rPr>
            <sz val="11"/>
            <color theme="1"/>
            <rFont val="Calibri"/>
            <family val="2"/>
            <scheme val="minor"/>
          </rPr>
          <t>Introducir un texto con el nombre o referencia de la contratación</t>
        </r>
      </text>
    </comment>
    <comment ref="B391" authorId="1" shapeId="0">
      <text>
        <r>
          <rPr>
            <sz val="11"/>
            <color theme="1"/>
            <rFont val="Calibri"/>
            <family val="2"/>
            <scheme val="minor"/>
          </rPr>
          <t>Introduzca un texto con la finalidad de la contratación</t>
        </r>
      </text>
    </comment>
    <comment ref="C391" authorId="1" shapeId="0">
      <text>
        <r>
          <rPr>
            <sz val="11"/>
            <color theme="1"/>
            <rFont val="Calibri"/>
            <family val="2"/>
            <scheme val="minor"/>
          </rPr>
          <t>Seleccionar un valor del listado</t>
        </r>
      </text>
    </comment>
    <comment ref="D391" authorId="1" shapeId="0">
      <text>
        <r>
          <rPr>
            <sz val="11"/>
            <color theme="1"/>
            <rFont val="Calibri"/>
            <family val="2"/>
            <scheme val="minor"/>
          </rPr>
          <t>Seleccione el tipo de procedimiento</t>
        </r>
      </text>
    </comment>
    <comment ref="E391" authorId="1" shapeId="0">
      <text>
        <r>
          <rPr>
            <sz val="11"/>
            <color theme="1"/>
            <rFont val="Calibri"/>
            <family val="2"/>
            <scheme val="minor"/>
          </rPr>
          <t>Seleccione un valor de la lista</t>
        </r>
      </text>
    </comment>
    <comment ref="F391" authorId="1" shapeId="0">
      <text>
        <r>
          <rPr>
            <sz val="11"/>
            <color theme="1"/>
            <rFont val="Calibri"/>
            <family val="2"/>
            <scheme val="minor"/>
          </rPr>
          <t>Introduzca el código SNIP</t>
        </r>
      </text>
    </comment>
    <comment ref="C392" authorId="1" shapeId="0">
      <text>
        <r>
          <rPr>
            <sz val="11"/>
            <color theme="1"/>
            <rFont val="Calibri"/>
            <family val="2"/>
            <scheme val="minor"/>
          </rPr>
          <t>Introduzca la fecha de inicio del proceso, en formato dd-mm-aaaa</t>
        </r>
      </text>
    </comment>
    <comment ref="F3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1" shapeId="0">
      <text/>
    </comment>
    <comment ref="C394" authorId="1" shapeId="0">
      <text>
        <r>
          <rPr>
            <sz val="11"/>
            <color theme="1"/>
            <rFont val="Calibri"/>
            <family val="2"/>
            <scheme val="minor"/>
          </rPr>
          <t>Introduzca la fecha prevista de adjudicación, en formato dd-mm-aaaa</t>
        </r>
      </text>
    </comment>
    <comment ref="F394" authorId="1" shapeId="0">
      <text/>
    </comment>
    <comment ref="F395" authorId="1" shapeId="0">
      <text/>
    </comment>
    <comment ref="A397" authorId="1" shapeId="0">
      <text>
        <r>
          <rPr>
            <sz val="11"/>
            <color theme="1"/>
            <rFont val="Calibri"/>
            <family val="2"/>
            <scheme val="minor"/>
          </rPr>
          <t>Introduzca un codigo UNSPSC</t>
        </r>
      </text>
    </comment>
    <comment ref="B397" authorId="1" shapeId="0">
      <text>
        <r>
          <rPr>
            <sz val="11"/>
            <color theme="1"/>
            <rFont val="Calibri"/>
            <family val="2"/>
            <scheme val="minor"/>
          </rPr>
          <t>Descripción calculada automáticamente a partir de código del artículo</t>
        </r>
      </text>
    </comment>
    <comment ref="C397" authorId="1" shapeId="0">
      <text>
        <r>
          <rPr>
            <sz val="11"/>
            <color theme="1"/>
            <rFont val="Calibri"/>
            <family val="2"/>
            <scheme val="minor"/>
          </rPr>
          <t>Seleccione un valor de la lista</t>
        </r>
      </text>
    </comment>
    <comment ref="D397" authorId="1" shapeId="0">
      <text>
        <r>
          <rPr>
            <sz val="11"/>
            <color theme="1"/>
            <rFont val="Calibri"/>
            <family val="2"/>
            <scheme val="minor"/>
          </rPr>
          <t>Introduzca un número con dos decimales como máximo. Debe ser igual o mayor a la "Cantidad Real Consumida"</t>
        </r>
      </text>
    </comment>
    <comment ref="E397" authorId="1" shapeId="0">
      <text>
        <r>
          <rPr>
            <sz val="11"/>
            <color theme="1"/>
            <rFont val="Calibri"/>
            <family val="2"/>
            <scheme val="minor"/>
          </rPr>
          <t>Introduzca un número con dos decimales como máximo</t>
        </r>
      </text>
    </comment>
    <comment ref="F397" authorId="1" shapeId="0">
      <text>
        <r>
          <rPr>
            <sz val="11"/>
            <color theme="1"/>
            <rFont val="Calibri"/>
            <family val="2"/>
            <scheme val="minor"/>
          </rPr>
          <t>Monto calculado automáticamente por el sistema</t>
        </r>
      </text>
    </comment>
    <comment ref="A403" authorId="1" shapeId="0">
      <text>
        <r>
          <rPr>
            <sz val="11"/>
            <color theme="1"/>
            <rFont val="Calibri"/>
            <family val="2"/>
            <scheme val="minor"/>
          </rPr>
          <t>Introducir un texto con el nombre o referencia de la contratación</t>
        </r>
      </text>
    </comment>
    <comment ref="B403" authorId="1" shapeId="0">
      <text>
        <r>
          <rPr>
            <sz val="11"/>
            <color theme="1"/>
            <rFont val="Calibri"/>
            <family val="2"/>
            <scheme val="minor"/>
          </rPr>
          <t>Introduzca un texto con la finalidad de la contratación</t>
        </r>
      </text>
    </comment>
    <comment ref="C403" authorId="1" shapeId="0">
      <text>
        <r>
          <rPr>
            <sz val="11"/>
            <color theme="1"/>
            <rFont val="Calibri"/>
            <family val="2"/>
            <scheme val="minor"/>
          </rPr>
          <t>Seleccionar un valor del listado</t>
        </r>
      </text>
    </comment>
    <comment ref="D403" authorId="1" shapeId="0">
      <text>
        <r>
          <rPr>
            <sz val="11"/>
            <color theme="1"/>
            <rFont val="Calibri"/>
            <family val="2"/>
            <scheme val="minor"/>
          </rPr>
          <t>Seleccione el tipo de procedimiento</t>
        </r>
      </text>
    </comment>
    <comment ref="E403" authorId="1" shapeId="0">
      <text>
        <r>
          <rPr>
            <sz val="11"/>
            <color theme="1"/>
            <rFont val="Calibri"/>
            <family val="2"/>
            <scheme val="minor"/>
          </rPr>
          <t>Seleccione un valor de la lista</t>
        </r>
      </text>
    </comment>
    <comment ref="F403" authorId="1" shapeId="0">
      <text>
        <r>
          <rPr>
            <sz val="11"/>
            <color theme="1"/>
            <rFont val="Calibri"/>
            <family val="2"/>
            <scheme val="minor"/>
          </rPr>
          <t>Introduzca el código SNIP</t>
        </r>
      </text>
    </comment>
    <comment ref="C404" authorId="1" shapeId="0">
      <text>
        <r>
          <rPr>
            <sz val="11"/>
            <color theme="1"/>
            <rFont val="Calibri"/>
            <family val="2"/>
            <scheme val="minor"/>
          </rPr>
          <t>Introduzca la fecha de inicio del proceso, en formato dd-mm-aaaa</t>
        </r>
      </text>
    </comment>
    <comment ref="F4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1" shapeId="0">
      <text/>
    </comment>
    <comment ref="C406" authorId="1" shapeId="0">
      <text>
        <r>
          <rPr>
            <sz val="11"/>
            <color theme="1"/>
            <rFont val="Calibri"/>
            <family val="2"/>
            <scheme val="minor"/>
          </rPr>
          <t>Introduzca la fecha prevista de adjudicación, en formato dd-mm-aaaa</t>
        </r>
      </text>
    </comment>
    <comment ref="F406" authorId="1" shapeId="0">
      <text/>
    </comment>
    <comment ref="F407" authorId="1" shapeId="0">
      <text/>
    </comment>
    <comment ref="A409" authorId="1" shapeId="0">
      <text>
        <r>
          <rPr>
            <sz val="11"/>
            <color theme="1"/>
            <rFont val="Calibri"/>
            <family val="2"/>
            <scheme val="minor"/>
          </rPr>
          <t>Introduzca un codigo UNSPSC</t>
        </r>
      </text>
    </comment>
    <comment ref="B409" authorId="1" shapeId="0">
      <text>
        <r>
          <rPr>
            <sz val="11"/>
            <color theme="1"/>
            <rFont val="Calibri"/>
            <family val="2"/>
            <scheme val="minor"/>
          </rPr>
          <t>Descripción calculada automáticamente a partir de código del artículo</t>
        </r>
      </text>
    </comment>
    <comment ref="C409" authorId="1" shapeId="0">
      <text>
        <r>
          <rPr>
            <sz val="11"/>
            <color theme="1"/>
            <rFont val="Calibri"/>
            <family val="2"/>
            <scheme val="minor"/>
          </rPr>
          <t>Seleccione un valor de la lista</t>
        </r>
      </text>
    </comment>
    <comment ref="D409" authorId="1" shapeId="0">
      <text>
        <r>
          <rPr>
            <sz val="11"/>
            <color theme="1"/>
            <rFont val="Calibri"/>
            <family val="2"/>
            <scheme val="minor"/>
          </rPr>
          <t>Introduzca un número con dos decimales como máximo. Debe ser igual o mayor a la "Cantidad Real Consumida"</t>
        </r>
      </text>
    </comment>
    <comment ref="E409" authorId="1" shapeId="0">
      <text>
        <r>
          <rPr>
            <sz val="11"/>
            <color theme="1"/>
            <rFont val="Calibri"/>
            <family val="2"/>
            <scheme val="minor"/>
          </rPr>
          <t>Introduzca un número con dos decimales como máximo</t>
        </r>
      </text>
    </comment>
    <comment ref="F409" authorId="1" shapeId="0">
      <text>
        <r>
          <rPr>
            <sz val="11"/>
            <color theme="1"/>
            <rFont val="Calibri"/>
            <family val="2"/>
            <scheme val="minor"/>
          </rPr>
          <t>Monto calculado automáticamente por el sistema</t>
        </r>
      </text>
    </comment>
    <comment ref="A416" authorId="1" shapeId="0">
      <text>
        <r>
          <rPr>
            <sz val="11"/>
            <color theme="1"/>
            <rFont val="Calibri"/>
            <family val="2"/>
            <scheme val="minor"/>
          </rPr>
          <t>Introducir un texto con el nombre o referencia de la contratación</t>
        </r>
      </text>
    </comment>
    <comment ref="B416" authorId="1" shapeId="0">
      <text>
        <r>
          <rPr>
            <sz val="11"/>
            <color theme="1"/>
            <rFont val="Calibri"/>
            <family val="2"/>
            <scheme val="minor"/>
          </rPr>
          <t>Introduzca un texto con la finalidad de la contratación</t>
        </r>
      </text>
    </comment>
    <comment ref="C416" authorId="1" shapeId="0">
      <text>
        <r>
          <rPr>
            <sz val="11"/>
            <color theme="1"/>
            <rFont val="Calibri"/>
            <family val="2"/>
            <scheme val="minor"/>
          </rPr>
          <t>Seleccionar un valor del listado</t>
        </r>
      </text>
    </comment>
    <comment ref="D416" authorId="1" shapeId="0">
      <text>
        <r>
          <rPr>
            <sz val="11"/>
            <color theme="1"/>
            <rFont val="Calibri"/>
            <family val="2"/>
            <scheme val="minor"/>
          </rPr>
          <t>Seleccione el tipo de procedimiento</t>
        </r>
      </text>
    </comment>
    <comment ref="E416" authorId="1" shapeId="0">
      <text>
        <r>
          <rPr>
            <sz val="11"/>
            <color theme="1"/>
            <rFont val="Calibri"/>
            <family val="2"/>
            <scheme val="minor"/>
          </rPr>
          <t>Seleccione un valor de la lista</t>
        </r>
      </text>
    </comment>
    <comment ref="F416" authorId="1" shapeId="0">
      <text>
        <r>
          <rPr>
            <sz val="11"/>
            <color theme="1"/>
            <rFont val="Calibri"/>
            <family val="2"/>
            <scheme val="minor"/>
          </rPr>
          <t>Introduzca el código SNIP</t>
        </r>
      </text>
    </comment>
    <comment ref="C417" authorId="1" shapeId="0">
      <text>
        <r>
          <rPr>
            <sz val="11"/>
            <color theme="1"/>
            <rFont val="Calibri"/>
            <family val="2"/>
            <scheme val="minor"/>
          </rPr>
          <t>Introduzca la fecha de inicio del proceso, en formato dd-mm-aaaa</t>
        </r>
      </text>
    </comment>
    <comment ref="F4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8" authorId="1" shapeId="0">
      <text/>
    </comment>
    <comment ref="C419" authorId="1" shapeId="0">
      <text>
        <r>
          <rPr>
            <sz val="11"/>
            <color theme="1"/>
            <rFont val="Calibri"/>
            <family val="2"/>
            <scheme val="minor"/>
          </rPr>
          <t>Introduzca la fecha prevista de adjudicación, en formato dd-mm-aaaa</t>
        </r>
      </text>
    </comment>
    <comment ref="F419" authorId="1" shapeId="0">
      <text/>
    </comment>
    <comment ref="F420" authorId="1" shapeId="0">
      <text/>
    </comment>
    <comment ref="A422" authorId="1" shapeId="0">
      <text>
        <r>
          <rPr>
            <sz val="11"/>
            <color theme="1"/>
            <rFont val="Calibri"/>
            <family val="2"/>
            <scheme val="minor"/>
          </rPr>
          <t>Introduzca un codigo UNSPSC</t>
        </r>
      </text>
    </comment>
    <comment ref="B422" authorId="1" shapeId="0">
      <text>
        <r>
          <rPr>
            <sz val="11"/>
            <color theme="1"/>
            <rFont val="Calibri"/>
            <family val="2"/>
            <scheme val="minor"/>
          </rPr>
          <t>Descripción calculada automáticamente a partir de código del artículo</t>
        </r>
      </text>
    </comment>
    <comment ref="C422" authorId="1" shapeId="0">
      <text>
        <r>
          <rPr>
            <sz val="11"/>
            <color theme="1"/>
            <rFont val="Calibri"/>
            <family val="2"/>
            <scheme val="minor"/>
          </rPr>
          <t>Seleccione un valor de la lista</t>
        </r>
      </text>
    </comment>
    <comment ref="D422" authorId="1" shapeId="0">
      <text>
        <r>
          <rPr>
            <sz val="11"/>
            <color theme="1"/>
            <rFont val="Calibri"/>
            <family val="2"/>
            <scheme val="minor"/>
          </rPr>
          <t>Introduzca un número con dos decimales como máximo. Debe ser igual o mayor a la "Cantidad Real Consumida"</t>
        </r>
      </text>
    </comment>
    <comment ref="E422" authorId="1" shapeId="0">
      <text>
        <r>
          <rPr>
            <sz val="11"/>
            <color theme="1"/>
            <rFont val="Calibri"/>
            <family val="2"/>
            <scheme val="minor"/>
          </rPr>
          <t>Introduzca un número con dos decimales como máximo</t>
        </r>
      </text>
    </comment>
    <comment ref="F422" authorId="1" shapeId="0">
      <text>
        <r>
          <rPr>
            <sz val="11"/>
            <color theme="1"/>
            <rFont val="Calibri"/>
            <family val="2"/>
            <scheme val="minor"/>
          </rPr>
          <t>Monto calculado automáticamente por el sistema</t>
        </r>
      </text>
    </comment>
    <comment ref="A436" authorId="1" shapeId="0">
      <text>
        <r>
          <rPr>
            <sz val="11"/>
            <color theme="1"/>
            <rFont val="Calibri"/>
            <family val="2"/>
            <scheme val="minor"/>
          </rPr>
          <t>Introducir un texto con el nombre o referencia de la contratación</t>
        </r>
      </text>
    </comment>
    <comment ref="B436" authorId="1" shapeId="0">
      <text>
        <r>
          <rPr>
            <sz val="11"/>
            <color theme="1"/>
            <rFont val="Calibri"/>
            <family val="2"/>
            <scheme val="minor"/>
          </rPr>
          <t>Introduzca un texto con la finalidad de la contratación</t>
        </r>
      </text>
    </comment>
    <comment ref="C436" authorId="1" shapeId="0">
      <text>
        <r>
          <rPr>
            <sz val="11"/>
            <color theme="1"/>
            <rFont val="Calibri"/>
            <family val="2"/>
            <scheme val="minor"/>
          </rPr>
          <t>Seleccionar un valor del listado</t>
        </r>
      </text>
    </comment>
    <comment ref="D436" authorId="1" shapeId="0">
      <text>
        <r>
          <rPr>
            <sz val="11"/>
            <color theme="1"/>
            <rFont val="Calibri"/>
            <family val="2"/>
            <scheme val="minor"/>
          </rPr>
          <t>Seleccione el tipo de procedimiento</t>
        </r>
      </text>
    </comment>
    <comment ref="E436" authorId="1" shapeId="0">
      <text>
        <r>
          <rPr>
            <sz val="11"/>
            <color theme="1"/>
            <rFont val="Calibri"/>
            <family val="2"/>
            <scheme val="minor"/>
          </rPr>
          <t>Seleccione un valor de la lista</t>
        </r>
      </text>
    </comment>
    <comment ref="F436" authorId="1" shapeId="0">
      <text>
        <r>
          <rPr>
            <sz val="11"/>
            <color theme="1"/>
            <rFont val="Calibri"/>
            <family val="2"/>
            <scheme val="minor"/>
          </rPr>
          <t>Introduzca el código SNIP</t>
        </r>
      </text>
    </comment>
    <comment ref="C437" authorId="1" shapeId="0">
      <text>
        <r>
          <rPr>
            <sz val="11"/>
            <color theme="1"/>
            <rFont val="Calibri"/>
            <family val="2"/>
            <scheme val="minor"/>
          </rPr>
          <t>Introduzca la fecha de inicio del proceso, en formato dd-mm-aaaa</t>
        </r>
      </text>
    </comment>
    <comment ref="F4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8" authorId="1" shapeId="0">
      <text/>
    </comment>
    <comment ref="C439" authorId="1" shapeId="0">
      <text>
        <r>
          <rPr>
            <sz val="11"/>
            <color theme="1"/>
            <rFont val="Calibri"/>
            <family val="2"/>
            <scheme val="minor"/>
          </rPr>
          <t>Introduzca la fecha prevista de adjudicación, en formato dd-mm-aaaa</t>
        </r>
      </text>
    </comment>
    <comment ref="F439" authorId="1" shapeId="0">
      <text/>
    </comment>
    <comment ref="F440" authorId="1" shapeId="0">
      <text/>
    </comment>
    <comment ref="A442" authorId="1" shapeId="0">
      <text>
        <r>
          <rPr>
            <sz val="11"/>
            <color theme="1"/>
            <rFont val="Calibri"/>
            <family val="2"/>
            <scheme val="minor"/>
          </rPr>
          <t>Introduzca un codigo UNSPSC</t>
        </r>
      </text>
    </comment>
    <comment ref="B442" authorId="1" shapeId="0">
      <text>
        <r>
          <rPr>
            <sz val="11"/>
            <color theme="1"/>
            <rFont val="Calibri"/>
            <family val="2"/>
            <scheme val="minor"/>
          </rPr>
          <t>Descripción calculada automáticamente a partir de código del artículo</t>
        </r>
      </text>
    </comment>
    <comment ref="C442" authorId="1" shapeId="0">
      <text>
        <r>
          <rPr>
            <sz val="11"/>
            <color theme="1"/>
            <rFont val="Calibri"/>
            <family val="2"/>
            <scheme val="minor"/>
          </rPr>
          <t>Seleccione un valor de la lista</t>
        </r>
      </text>
    </comment>
    <comment ref="D442" authorId="1" shapeId="0">
      <text>
        <r>
          <rPr>
            <sz val="11"/>
            <color theme="1"/>
            <rFont val="Calibri"/>
            <family val="2"/>
            <scheme val="minor"/>
          </rPr>
          <t>Introduzca un número con dos decimales como máximo. Debe ser igual o mayor a la "Cantidad Real Consumida"</t>
        </r>
      </text>
    </comment>
    <comment ref="E442" authorId="1" shapeId="0">
      <text>
        <r>
          <rPr>
            <sz val="11"/>
            <color theme="1"/>
            <rFont val="Calibri"/>
            <family val="2"/>
            <scheme val="minor"/>
          </rPr>
          <t>Introduzca un número con dos decimales como máximo</t>
        </r>
      </text>
    </comment>
    <comment ref="F442" authorId="1" shapeId="0">
      <text>
        <r>
          <rPr>
            <sz val="11"/>
            <color theme="1"/>
            <rFont val="Calibri"/>
            <family val="2"/>
            <scheme val="minor"/>
          </rPr>
          <t>Monto calculado automáticamente por el sistema</t>
        </r>
      </text>
    </comment>
    <comment ref="A447" authorId="1" shapeId="0">
      <text>
        <r>
          <rPr>
            <sz val="11"/>
            <color theme="1"/>
            <rFont val="Calibri"/>
            <family val="2"/>
            <scheme val="minor"/>
          </rPr>
          <t>Introducir un texto con el nombre o referencia de la contratación</t>
        </r>
      </text>
    </comment>
    <comment ref="B447" authorId="1" shapeId="0">
      <text>
        <r>
          <rPr>
            <sz val="11"/>
            <color theme="1"/>
            <rFont val="Calibri"/>
            <family val="2"/>
            <scheme val="minor"/>
          </rPr>
          <t>Introduzca un texto con la finalidad de la contratación</t>
        </r>
      </text>
    </comment>
    <comment ref="C447" authorId="1" shapeId="0">
      <text>
        <r>
          <rPr>
            <sz val="11"/>
            <color theme="1"/>
            <rFont val="Calibri"/>
            <family val="2"/>
            <scheme val="minor"/>
          </rPr>
          <t>Seleccionar un valor del listado</t>
        </r>
      </text>
    </comment>
    <comment ref="D447" authorId="1" shapeId="0">
      <text>
        <r>
          <rPr>
            <sz val="11"/>
            <color theme="1"/>
            <rFont val="Calibri"/>
            <family val="2"/>
            <scheme val="minor"/>
          </rPr>
          <t>Seleccione el tipo de procedimiento</t>
        </r>
      </text>
    </comment>
    <comment ref="E447" authorId="1" shapeId="0">
      <text>
        <r>
          <rPr>
            <sz val="11"/>
            <color theme="1"/>
            <rFont val="Calibri"/>
            <family val="2"/>
            <scheme val="minor"/>
          </rPr>
          <t>Seleccione un valor de la lista</t>
        </r>
      </text>
    </comment>
    <comment ref="F447" authorId="1" shapeId="0">
      <text>
        <r>
          <rPr>
            <sz val="11"/>
            <color theme="1"/>
            <rFont val="Calibri"/>
            <family val="2"/>
            <scheme val="minor"/>
          </rPr>
          <t>Introduzca el código SNIP</t>
        </r>
      </text>
    </comment>
    <comment ref="C448" authorId="1" shapeId="0">
      <text>
        <r>
          <rPr>
            <sz val="11"/>
            <color theme="1"/>
            <rFont val="Calibri"/>
            <family val="2"/>
            <scheme val="minor"/>
          </rPr>
          <t>Introduzca la fecha de inicio del proceso, en formato dd-mm-aaaa</t>
        </r>
      </text>
    </comment>
    <comment ref="F4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9" authorId="1" shapeId="0">
      <text/>
    </comment>
    <comment ref="C450" authorId="1" shapeId="0">
      <text>
        <r>
          <rPr>
            <sz val="11"/>
            <color theme="1"/>
            <rFont val="Calibri"/>
            <family val="2"/>
            <scheme val="minor"/>
          </rPr>
          <t>Introduzca la fecha prevista de adjudicación, en formato dd-mm-aaaa</t>
        </r>
      </text>
    </comment>
    <comment ref="F450" authorId="1" shapeId="0">
      <text/>
    </comment>
    <comment ref="F451" authorId="1" shapeId="0">
      <text/>
    </comment>
    <comment ref="A453" authorId="1" shapeId="0">
      <text>
        <r>
          <rPr>
            <sz val="11"/>
            <color theme="1"/>
            <rFont val="Calibri"/>
            <family val="2"/>
            <scheme val="minor"/>
          </rPr>
          <t>Introduzca un codigo UNSPSC</t>
        </r>
      </text>
    </comment>
    <comment ref="B453" authorId="1" shapeId="0">
      <text>
        <r>
          <rPr>
            <sz val="11"/>
            <color theme="1"/>
            <rFont val="Calibri"/>
            <family val="2"/>
            <scheme val="minor"/>
          </rPr>
          <t>Descripción calculada automáticamente a partir de código del artículo</t>
        </r>
      </text>
    </comment>
    <comment ref="C453" authorId="1" shapeId="0">
      <text>
        <r>
          <rPr>
            <sz val="11"/>
            <color theme="1"/>
            <rFont val="Calibri"/>
            <family val="2"/>
            <scheme val="minor"/>
          </rPr>
          <t>Seleccione un valor de la lista</t>
        </r>
      </text>
    </comment>
    <comment ref="D453" authorId="1" shapeId="0">
      <text>
        <r>
          <rPr>
            <sz val="11"/>
            <color theme="1"/>
            <rFont val="Calibri"/>
            <family val="2"/>
            <scheme val="minor"/>
          </rPr>
          <t>Introduzca un número con dos decimales como máximo. Debe ser igual o mayor a la "Cantidad Real Consumida"</t>
        </r>
      </text>
    </comment>
    <comment ref="E453" authorId="1" shapeId="0">
      <text>
        <r>
          <rPr>
            <sz val="11"/>
            <color theme="1"/>
            <rFont val="Calibri"/>
            <family val="2"/>
            <scheme val="minor"/>
          </rPr>
          <t>Introduzca un número con dos decimales como máximo</t>
        </r>
      </text>
    </comment>
    <comment ref="F453" authorId="1" shapeId="0">
      <text>
        <r>
          <rPr>
            <sz val="11"/>
            <color theme="1"/>
            <rFont val="Calibri"/>
            <family val="2"/>
            <scheme val="minor"/>
          </rPr>
          <t>Monto calculado automáticamente por el sistema</t>
        </r>
      </text>
    </comment>
    <comment ref="A458" authorId="1" shapeId="0">
      <text>
        <r>
          <rPr>
            <sz val="11"/>
            <color theme="1"/>
            <rFont val="Calibri"/>
            <family val="2"/>
            <scheme val="minor"/>
          </rPr>
          <t>Introducir un texto con el nombre o referencia de la contratación</t>
        </r>
      </text>
    </comment>
    <comment ref="B458" authorId="1" shapeId="0">
      <text>
        <r>
          <rPr>
            <sz val="11"/>
            <color theme="1"/>
            <rFont val="Calibri"/>
            <family val="2"/>
            <scheme val="minor"/>
          </rPr>
          <t>Introduzca un texto con la finalidad de la contratación</t>
        </r>
      </text>
    </comment>
    <comment ref="C458" authorId="1" shapeId="0">
      <text>
        <r>
          <rPr>
            <sz val="11"/>
            <color theme="1"/>
            <rFont val="Calibri"/>
            <family val="2"/>
            <scheme val="minor"/>
          </rPr>
          <t>Seleccionar un valor del listado</t>
        </r>
      </text>
    </comment>
    <comment ref="D458" authorId="1" shapeId="0">
      <text>
        <r>
          <rPr>
            <sz val="11"/>
            <color theme="1"/>
            <rFont val="Calibri"/>
            <family val="2"/>
            <scheme val="minor"/>
          </rPr>
          <t>Seleccione el tipo de procedimiento</t>
        </r>
      </text>
    </comment>
    <comment ref="E458" authorId="1" shapeId="0">
      <text>
        <r>
          <rPr>
            <sz val="11"/>
            <color theme="1"/>
            <rFont val="Calibri"/>
            <family val="2"/>
            <scheme val="minor"/>
          </rPr>
          <t>Seleccione un valor de la lista</t>
        </r>
      </text>
    </comment>
    <comment ref="F458" authorId="1" shapeId="0">
      <text>
        <r>
          <rPr>
            <sz val="11"/>
            <color theme="1"/>
            <rFont val="Calibri"/>
            <family val="2"/>
            <scheme val="minor"/>
          </rPr>
          <t>Introduzca el código SNIP</t>
        </r>
      </text>
    </comment>
    <comment ref="C459" authorId="1" shapeId="0">
      <text>
        <r>
          <rPr>
            <sz val="11"/>
            <color theme="1"/>
            <rFont val="Calibri"/>
            <family val="2"/>
            <scheme val="minor"/>
          </rPr>
          <t>Introduzca la fecha de inicio del proceso, en formato dd-mm-aaaa</t>
        </r>
      </text>
    </comment>
    <comment ref="F4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shapeId="0">
      <text/>
    </comment>
    <comment ref="C461" authorId="1" shapeId="0">
      <text>
        <r>
          <rPr>
            <sz val="11"/>
            <color theme="1"/>
            <rFont val="Calibri"/>
            <family val="2"/>
            <scheme val="minor"/>
          </rPr>
          <t>Introduzca la fecha prevista de adjudicación, en formato dd-mm-aaaa</t>
        </r>
      </text>
    </comment>
    <comment ref="F461" authorId="1" shapeId="0">
      <text/>
    </comment>
    <comment ref="F462" authorId="1" shapeId="0">
      <text/>
    </comment>
    <comment ref="A464" authorId="1" shapeId="0">
      <text>
        <r>
          <rPr>
            <sz val="11"/>
            <color theme="1"/>
            <rFont val="Calibri"/>
            <family val="2"/>
            <scheme val="minor"/>
          </rPr>
          <t>Introduzca un codigo UNSPSC</t>
        </r>
      </text>
    </comment>
    <comment ref="B464" authorId="1" shapeId="0">
      <text>
        <r>
          <rPr>
            <sz val="11"/>
            <color theme="1"/>
            <rFont val="Calibri"/>
            <family val="2"/>
            <scheme val="minor"/>
          </rPr>
          <t>Descripción calculada automáticamente a partir de código del artículo</t>
        </r>
      </text>
    </comment>
    <comment ref="C464" authorId="1" shapeId="0">
      <text>
        <r>
          <rPr>
            <sz val="11"/>
            <color theme="1"/>
            <rFont val="Calibri"/>
            <family val="2"/>
            <scheme val="minor"/>
          </rPr>
          <t>Seleccione un valor de la lista</t>
        </r>
      </text>
    </comment>
    <comment ref="D464" authorId="1" shapeId="0">
      <text>
        <r>
          <rPr>
            <sz val="11"/>
            <color theme="1"/>
            <rFont val="Calibri"/>
            <family val="2"/>
            <scheme val="minor"/>
          </rPr>
          <t>Introduzca un número con dos decimales como máximo. Debe ser igual o mayor a la "Cantidad Real Consumida"</t>
        </r>
      </text>
    </comment>
    <comment ref="E464" authorId="1" shapeId="0">
      <text>
        <r>
          <rPr>
            <sz val="11"/>
            <color theme="1"/>
            <rFont val="Calibri"/>
            <family val="2"/>
            <scheme val="minor"/>
          </rPr>
          <t>Introduzca un número con dos decimales como máximo</t>
        </r>
      </text>
    </comment>
    <comment ref="F464" authorId="1" shapeId="0">
      <text>
        <r>
          <rPr>
            <sz val="11"/>
            <color theme="1"/>
            <rFont val="Calibri"/>
            <family val="2"/>
            <scheme val="minor"/>
          </rPr>
          <t>Monto calculado automáticamente por el sistema</t>
        </r>
      </text>
    </comment>
    <comment ref="A471" authorId="1" shapeId="0">
      <text>
        <r>
          <rPr>
            <sz val="11"/>
            <color theme="1"/>
            <rFont val="Calibri"/>
            <family val="2"/>
            <scheme val="minor"/>
          </rPr>
          <t>Introducir un texto con el nombre o referencia de la contratación</t>
        </r>
      </text>
    </comment>
    <comment ref="B471" authorId="1" shapeId="0">
      <text>
        <r>
          <rPr>
            <sz val="11"/>
            <color theme="1"/>
            <rFont val="Calibri"/>
            <family val="2"/>
            <scheme val="minor"/>
          </rPr>
          <t>Introduzca un texto con la finalidad de la contratación</t>
        </r>
      </text>
    </comment>
    <comment ref="C471" authorId="1" shapeId="0">
      <text>
        <r>
          <rPr>
            <sz val="11"/>
            <color theme="1"/>
            <rFont val="Calibri"/>
            <family val="2"/>
            <scheme val="minor"/>
          </rPr>
          <t>Seleccionar un valor del listado</t>
        </r>
      </text>
    </comment>
    <comment ref="D471" authorId="1" shapeId="0">
      <text>
        <r>
          <rPr>
            <sz val="11"/>
            <color theme="1"/>
            <rFont val="Calibri"/>
            <family val="2"/>
            <scheme val="minor"/>
          </rPr>
          <t>Seleccione el tipo de procedimiento</t>
        </r>
      </text>
    </comment>
    <comment ref="E471" authorId="1" shapeId="0">
      <text>
        <r>
          <rPr>
            <sz val="11"/>
            <color theme="1"/>
            <rFont val="Calibri"/>
            <family val="2"/>
            <scheme val="minor"/>
          </rPr>
          <t>Seleccione un valor de la lista</t>
        </r>
      </text>
    </comment>
    <comment ref="F471" authorId="1" shapeId="0">
      <text>
        <r>
          <rPr>
            <sz val="11"/>
            <color theme="1"/>
            <rFont val="Calibri"/>
            <family val="2"/>
            <scheme val="minor"/>
          </rPr>
          <t>Introduzca el código SNIP</t>
        </r>
      </text>
    </comment>
    <comment ref="C472" authorId="1" shapeId="0">
      <text>
        <r>
          <rPr>
            <sz val="11"/>
            <color theme="1"/>
            <rFont val="Calibri"/>
            <family val="2"/>
            <scheme val="minor"/>
          </rPr>
          <t>Introduzca la fecha de inicio del proceso, en formato dd-mm-aaaa</t>
        </r>
      </text>
    </comment>
    <comment ref="F4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3" authorId="1" shapeId="0">
      <text/>
    </comment>
    <comment ref="C474" authorId="1" shapeId="0">
      <text>
        <r>
          <rPr>
            <sz val="11"/>
            <color theme="1"/>
            <rFont val="Calibri"/>
            <family val="2"/>
            <scheme val="minor"/>
          </rPr>
          <t>Introduzca la fecha prevista de adjudicación, en formato dd-mm-aaaa</t>
        </r>
      </text>
    </comment>
    <comment ref="F474" authorId="1" shapeId="0">
      <text/>
    </comment>
    <comment ref="F475" authorId="1" shapeId="0">
      <text/>
    </comment>
    <comment ref="A477" authorId="1" shapeId="0">
      <text>
        <r>
          <rPr>
            <sz val="11"/>
            <color theme="1"/>
            <rFont val="Calibri"/>
            <family val="2"/>
            <scheme val="minor"/>
          </rPr>
          <t>Introduzca un codigo UNSPSC</t>
        </r>
      </text>
    </comment>
    <comment ref="B477" authorId="1" shapeId="0">
      <text>
        <r>
          <rPr>
            <sz val="11"/>
            <color theme="1"/>
            <rFont val="Calibri"/>
            <family val="2"/>
            <scheme val="minor"/>
          </rPr>
          <t>Descripción calculada automáticamente a partir de código del artículo</t>
        </r>
      </text>
    </comment>
    <comment ref="C477" authorId="1" shapeId="0">
      <text>
        <r>
          <rPr>
            <sz val="11"/>
            <color theme="1"/>
            <rFont val="Calibri"/>
            <family val="2"/>
            <scheme val="minor"/>
          </rPr>
          <t>Seleccione un valor de la lista</t>
        </r>
      </text>
    </comment>
    <comment ref="D477" authorId="1" shapeId="0">
      <text>
        <r>
          <rPr>
            <sz val="11"/>
            <color theme="1"/>
            <rFont val="Calibri"/>
            <family val="2"/>
            <scheme val="minor"/>
          </rPr>
          <t>Introduzca un número con dos decimales como máximo. Debe ser igual o mayor a la "Cantidad Real Consumida"</t>
        </r>
      </text>
    </comment>
    <comment ref="E477" authorId="1" shapeId="0">
      <text>
        <r>
          <rPr>
            <sz val="11"/>
            <color theme="1"/>
            <rFont val="Calibri"/>
            <family val="2"/>
            <scheme val="minor"/>
          </rPr>
          <t>Introduzca un número con dos decimales como máximo</t>
        </r>
      </text>
    </comment>
    <comment ref="F477" authorId="1"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<sst xmlns="http://schemas.openxmlformats.org/spreadsheetml/2006/main" count="1105" uniqueCount="193">
  <si>
    <t xml:space="preserve">PLAN ANUAL DE COMPRAS Y CONTRATACIONES 
</t>
  </si>
  <si>
    <t>SNCC.F.069</t>
  </si>
  <si>
    <t xml:space="preserve">Capítulo </t>
  </si>
  <si>
    <t>5167</t>
  </si>
  <si>
    <t>Version: 1.0.0</t>
  </si>
  <si>
    <t>Sub Capítulo</t>
  </si>
  <si>
    <t>01</t>
  </si>
  <si>
    <t>Unidad Ejecutora</t>
  </si>
  <si>
    <t>0001</t>
  </si>
  <si>
    <t>Cantidad Procesos Registrados</t>
  </si>
  <si>
    <t xml:space="preserve">Unidad de Compra </t>
  </si>
  <si>
    <t>Oficina Nacional de Defensa Pública</t>
  </si>
  <si>
    <t>Monto Estimado Total</t>
  </si>
  <si>
    <t>Código de la Unidad de Compra</t>
  </si>
  <si>
    <t>000700</t>
  </si>
  <si>
    <t xml:space="preserve">Año Fiscal </t>
  </si>
  <si>
    <t>2022</t>
  </si>
  <si>
    <t>Fecha Aprobación</t>
  </si>
  <si>
    <t/>
  </si>
  <si>
    <t>NOMBRE O REFERENCIA DE CONTRATACIÓN</t>
  </si>
  <si>
    <t>FINALIDAD DE LA CONTRATACIÓN</t>
  </si>
  <si>
    <t>OBJETO DE CONTRATACIÓN</t>
  </si>
  <si>
    <t>PROCEDIMIENTO DE SELECCIÓN</t>
  </si>
  <si>
    <t>DESTINADO A MIPYMES</t>
  </si>
  <si>
    <t>CÓDIGO SNIP</t>
  </si>
  <si>
    <t>SERVICIO DE EXTERMINACION O FUMIGACION</t>
  </si>
  <si>
    <t>FUMIGACION DE LAS OFICINAS A NIVEL NACIONAL</t>
  </si>
  <si>
    <t>Servicios</t>
  </si>
  <si>
    <t>Compras Menores</t>
  </si>
  <si>
    <t>Sí</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</si>
  <si>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</si>
  <si>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</si>
  <si>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</si>
  <si>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</si>
  <si>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</si>
  <si>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</si>
  <si>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</si>
  <si>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</si>
  <si>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</si>
  <si>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</si>
  <si>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</si>
  <si>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</si>
  <si>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</si>
  <si>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</si>
  <si>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</si>
  <si>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</si>
  <si>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</si>
  <si>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72102103</t>
  </si>
  <si>
    <t>TOTAL COMPRA ESTIMADA</t>
  </si>
  <si>
    <t>ADQUIRIR SERVICIOS DE COMIDAS Y BEBIDAS</t>
  </si>
  <si>
    <t>SERVICIO DE ALMUERZO Y CENA PARA EL PERSONAL MILITAR</t>
  </si>
  <si>
    <t>90101802</t>
  </si>
  <si>
    <t>ADQUISICIÓN DE COMBUSTIBLE</t>
  </si>
  <si>
    <t>COMBUSTIBLE PARA LA PLANTA</t>
  </si>
  <si>
    <t>Bienes</t>
  </si>
  <si>
    <t>Compras por debajo del Umbral</t>
  </si>
  <si>
    <t>No</t>
  </si>
  <si>
    <t>15101701</t>
  </si>
  <si>
    <t>SERVICIO ALQUILER DE FOTOCOPIADORAS</t>
  </si>
  <si>
    <t>ALQUILER DE FOTOCOPIADORAS PARA TODAS LAS OFICINAS A NIVEL NACIONAL</t>
  </si>
  <si>
    <t>Comparacion de Precios</t>
  </si>
  <si>
    <t>44101501</t>
  </si>
  <si>
    <t>SERVICIO DE MANTENIMIENTO EQUIPOS Y MOBILIARIOS DE OFICINA</t>
  </si>
  <si>
    <t xml:space="preserve">SERVICIOS DE MANTENIMIENTO PREVENTIVO, REPARACIÓN DE MECANICA EN GENERAL DE LOS VEHICULOS DE LA ONDP.
</t>
  </si>
  <si>
    <t>78180102</t>
  </si>
  <si>
    <t>78180101</t>
  </si>
  <si>
    <t>SERVICIOS DE MANTENIMIENTO VARIOS</t>
  </si>
  <si>
    <t>MANTENIMIENTO DE LA PLANTA ELECTRICA</t>
  </si>
  <si>
    <t>72101517</t>
  </si>
  <si>
    <t>ADQUISICION DE ACCESORIOS DE OFICINA</t>
  </si>
  <si>
    <t>ADQUISICION DE LOS MATERIALES PARA USO DE LAS OFICINAS ONDP</t>
  </si>
  <si>
    <t>14111507</t>
  </si>
  <si>
    <t>24121503</t>
  </si>
  <si>
    <t>14111537</t>
  </si>
  <si>
    <t>14111526</t>
  </si>
  <si>
    <t>14111531</t>
  </si>
  <si>
    <t>44122003</t>
  </si>
  <si>
    <t>31201512</t>
  </si>
  <si>
    <t>44122104</t>
  </si>
  <si>
    <t>43201811</t>
  </si>
  <si>
    <t>44122011</t>
  </si>
  <si>
    <t>44121611</t>
  </si>
  <si>
    <t>44122107</t>
  </si>
  <si>
    <t>44121615</t>
  </si>
  <si>
    <t>44121701</t>
  </si>
  <si>
    <t>44121716</t>
  </si>
  <si>
    <t>44121708</t>
  </si>
  <si>
    <t>44122017</t>
  </si>
  <si>
    <t>44101602</t>
  </si>
  <si>
    <t>44121613</t>
  </si>
  <si>
    <t>44121619</t>
  </si>
  <si>
    <t>44121503</t>
  </si>
  <si>
    <t>44122016</t>
  </si>
  <si>
    <t>44121612</t>
  </si>
  <si>
    <t>44121904</t>
  </si>
  <si>
    <t>55121802</t>
  </si>
  <si>
    <t>55121616</t>
  </si>
  <si>
    <t xml:space="preserve">ADQUIRIR MAQUINARIA, SUMINISTROS Y ACCESORIOS DE OFICINA </t>
  </si>
  <si>
    <t>ADQUISICIÓN DE TONERS, SUMADORAS Y OTROS SUMINISTROS PARA LAS OFICINAS DE LA ONDP</t>
  </si>
  <si>
    <t>44103103</t>
  </si>
  <si>
    <t>44101801</t>
  </si>
  <si>
    <t>ADQUIRIR SUMINISTRO DE LIMPIEZA</t>
  </si>
  <si>
    <t>ADQUISICION DE SUMINISTRO DE PRODUCTOS DE LIMPIEZA PARA LAS OFICINAS DE LA ONDP A NIVEL NACIONAL</t>
  </si>
  <si>
    <t>14111704</t>
  </si>
  <si>
    <t>14111703</t>
  </si>
  <si>
    <t>14111705</t>
  </si>
  <si>
    <t>10191509</t>
  </si>
  <si>
    <t>47131812</t>
  </si>
  <si>
    <t>47121803</t>
  </si>
  <si>
    <t>47131807</t>
  </si>
  <si>
    <t>47121804</t>
  </si>
  <si>
    <t>47131801</t>
  </si>
  <si>
    <t>41103206</t>
  </si>
  <si>
    <t>47131604</t>
  </si>
  <si>
    <t>47121701</t>
  </si>
  <si>
    <t>47132102</t>
  </si>
  <si>
    <t>47131810</t>
  </si>
  <si>
    <t>47131803</t>
  </si>
  <si>
    <t>47131618</t>
  </si>
  <si>
    <t>47131503</t>
  </si>
  <si>
    <t>47131502</t>
  </si>
  <si>
    <t>47131824</t>
  </si>
  <si>
    <t>47131805</t>
  </si>
  <si>
    <t>47131611</t>
  </si>
  <si>
    <t>47131804</t>
  </si>
  <si>
    <t>47131704</t>
  </si>
  <si>
    <t>47131701</t>
  </si>
  <si>
    <t>47131710</t>
  </si>
  <si>
    <t>47131706</t>
  </si>
  <si>
    <t>ADQUIRIR BOTELLAS DE AGUA</t>
  </si>
  <si>
    <t>ADQUISICIÓN DE BOTELLONES DE AGUA PARA CONSUMO EMPLEADOS DE LA ONDP</t>
  </si>
  <si>
    <t>50202301</t>
  </si>
  <si>
    <t>ADQUIRIR CHOCOLATES, AZÚCARES, EDULCORANTES Y PRODUCTOS DE CONFITERÍA</t>
  </si>
  <si>
    <t>ADQUISICIÓN CHOCOLATES, AZÚCARES, EDULCORANTES Y PRODUCTOS DE CONFITERÍA PARA LAS OFICINAS DE LA ONDP</t>
  </si>
  <si>
    <t>50201706</t>
  </si>
  <si>
    <t>50161509</t>
  </si>
  <si>
    <t>ADQUIRIR CÁMARAS DIGITALES</t>
  </si>
  <si>
    <t>ADQUISICIÓN DE CÁMARAS DIGITALES PARA SECCIÓN DE COMUNICACIÓN DE ONDP</t>
  </si>
  <si>
    <t>45121504</t>
  </si>
  <si>
    <t>45121520</t>
  </si>
  <si>
    <t>ADQUIRIR MOBILIARIOS DE OFICINA</t>
  </si>
  <si>
    <t>ADQUISICIÓN DE MOBILIARIOS DE OFICINA PARA LAS OFICINAS DE LA ONDP</t>
  </si>
  <si>
    <t>56112102</t>
  </si>
  <si>
    <t>56112109</t>
  </si>
  <si>
    <t>56101522</t>
  </si>
  <si>
    <t>56101701</t>
  </si>
  <si>
    <t>56101702</t>
  </si>
  <si>
    <t>56101703</t>
  </si>
  <si>
    <t>56101706</t>
  </si>
  <si>
    <t>ADQUIRIR BONOS PARA EMPLEADOS</t>
  </si>
  <si>
    <t>ADQUISICIÓN BONOS PARA EMPLEADOS
DÍA SECRETARIA, MADRES Y ESCOLARES</t>
  </si>
  <si>
    <t>14111608</t>
  </si>
  <si>
    <t>ADQUISICIÓN BONOS PARA EMPLEADOS DÍA DE LOS PADRES</t>
  </si>
  <si>
    <t>ADQUISICION DE BONOS PARA EMPLEADOS
EN NAVIDAD</t>
  </si>
  <si>
    <t>ADQUIRIR APARATOS ELECTRODOMÉSTICOS</t>
  </si>
  <si>
    <t>ADQUISICIÓN DE ELECTRODOMÉSTICOS PARA LAS OFICINAS DE LA ONDP</t>
  </si>
  <si>
    <t>52141501</t>
  </si>
  <si>
    <t>48101714</t>
  </si>
  <si>
    <t>52141502</t>
  </si>
  <si>
    <t>ADQUISICIÓN FRANELAS INSTITUCIONAL</t>
  </si>
  <si>
    <t>ADQUISICIÓN FRANELAS INSTITUCIONAL EMPLEADOS ONDP</t>
  </si>
  <si>
    <t>53102710</t>
  </si>
  <si>
    <t>ORGANIZACIÓN DE EVENTOS Y FESTIVIDADES</t>
  </si>
  <si>
    <t xml:space="preserve">ACTIVIDAD DÍA DE LA AMISTAD Y DÍA  INTERNACIONAL DE LA MUJER </t>
  </si>
  <si>
    <t>90101601</t>
  </si>
  <si>
    <t>ACTIVIDAD DÍA DE LA SECRETARIA, DÍA DE LAS MADRE Y DÍA DEL PADRE</t>
  </si>
  <si>
    <t xml:space="preserve">PREMIOS FRAY ANTON DE MONTESINOS </t>
  </si>
  <si>
    <t>ACTIVIDAD DIA DE NAVIDAD</t>
  </si>
  <si>
    <t>PUBLICIDAD, IMPRESIÓN Y ENCUADERNACIÓN</t>
  </si>
  <si>
    <t>SERVICIOS PUBLICITARIOS, MEDIOS DIGITALES, PERIÓDICOS,…ETC.</t>
  </si>
  <si>
    <t>82101504</t>
  </si>
  <si>
    <t>SERVICIOS PUBLICITARIOS, MEDIOS DIGITALES, PERIODICOS,…ETC.</t>
  </si>
  <si>
    <t>CONTRATACIÓN DE NOTARIO PÚBLICO</t>
  </si>
  <si>
    <t xml:space="preserve">CONTRATACIÓN SERVICIO  DE NOTARIO PÚBLICO PARA  LA LEGALIZACIÓN DE ACTOS Y CONTRATOS DE LOS PROCESOS DE COMPRA </t>
  </si>
  <si>
    <t>80121704</t>
  </si>
  <si>
    <t>LICENCIAS INFORMÁTICAS</t>
  </si>
  <si>
    <t xml:space="preserve">ADQUISICIÓN DE LICENCIAS PARA USO DEL SISTEMA DE INFORMÁTICA DE ONDP
</t>
  </si>
  <si>
    <t>43231512</t>
  </si>
  <si>
    <t>SERVICIOS DE IMPRESIÓN</t>
  </si>
  <si>
    <t>SERVICIO DE IMPRESIÓN Y EMPASTADO DE LIBROS INSTITUCIONAL PARA LAS OFICINAS DE LA ONDP</t>
  </si>
  <si>
    <t>82121507</t>
  </si>
  <si>
    <t>RECARGA DE PASE RÁPIDO</t>
  </si>
  <si>
    <t>RECARGA DE PASE RÁPIDO EN PEAJES PARA LA FLOTILLA VEHICULAR DE LA ONDP</t>
  </si>
  <si>
    <t>84141602</t>
  </si>
  <si>
    <t>SERVICIO DE MONITOREO SATELITAL</t>
  </si>
  <si>
    <t>SERVICIOS DE MONITOREO SATELITAL GPS PARA LA FLOTILLA VEHICULAR DE LA ONDP</t>
  </si>
  <si>
    <t>25173107</t>
  </si>
  <si>
    <t>HERRAMIENTAS</t>
  </si>
  <si>
    <t>ADQUISICIÓN HERRAMIENTAS DE TRABAJO PARA LA DIVISIÓN DE SERVICIOS GENERALES DE LA ONDP</t>
  </si>
  <si>
    <t>27111515</t>
  </si>
  <si>
    <t>27111701</t>
  </si>
  <si>
    <t>27113203</t>
  </si>
  <si>
    <t>RENOVACIÓN LICENCIAS FORTIGATE 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</si>
</sst>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RD$-1C0A]* #,##0.00_-;\-[$RD$-1C0A]* #,##0.00_-;_-[$RD$-1C0A]* &quot;-&quot;??_-;_-@_-"/>
    <numFmt numFmtId="165" formatCode="dd/mm/yyyy"/>
    <numFmt numFmtId="166" formatCode="dd\-mm\-yyyy"/>
    <numFmt numFmtId="167" formatCode="_-[$RD$-1C0A]* #,##0.00_ ;_-[$RD$-1C0A]* \-#,##0.00\ ;_-[$RD$-1C0A]* &quot; - &quot;??_ ;_-@_ "/>
  </numFmts>
  <fonts count="12" x14ac:knownFonts="1">
    <font>
      <sz val="11"/>
      <color theme="1"/>
      <name val="Calibri"/>
      <family val="2"/>
      <scheme val="minor"/>
    </font>
    <font>
      <sz val="14"/>
      <color theme="1"/>
      <name val="Arial Narrow"/>
      <family val="2"/>
    </font>
    <font>
      <b/>
      <sz val="12"/>
      <color theme="1"/>
      <name val="Arial Narrow"/>
      <family val="2"/>
    </font>
    <font>
      <b/>
      <sz val="16"/>
      <color theme="1"/>
      <name val="Arial Narrow"/>
      <family val="2"/>
    </font>
    <font>
      <sz val="9"/>
      <color theme="1"/>
      <name val="Arial Narrow"/>
      <family val="2"/>
    </font>
    <font>
      <b/>
      <sz val="9"/>
      <color rgb="FF002060"/>
      <name val="Arial Narrow"/>
      <family val="2"/>
    </font>
    <font>
      <b/>
      <sz val="9"/>
      <color theme="1"/>
      <name val="Arial Narrow"/>
      <family val="2"/>
    </font>
    <font>
      <b/>
      <sz val="9"/>
      <color theme="1"/>
      <name val="Calibri"/>
      <family val="2"/>
      <scheme val="minor"/>
    </font>
    <font>
      <sz val="11"/>
      <color theme="1"/>
      <name val="Arial Narrow"/>
      <family val="2"/>
    </font>
    <font>
      <b/>
      <sz val="8"/>
      <color theme="1"/>
      <name val="Calibri"/>
      <family val="2"/>
      <scheme val="minor"/>
    </font>
    <font>
      <sz val="8"/>
      <color theme="1"/>
      <name val="Calibri"/>
      <family val="2"/>
      <scheme val="minor"/>
    </font>
    <font>
      <b/>
      <sz val="9"/>
      <name val="Tahoma"/>
      <family val="2"/>
    </font>
  </fonts>
  <fills count="9">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9" fillId="5" borderId="6">
      <alignment horizontal="center" vertical="center" wrapText="1"/>
    </xf>
    <xf numFmtId="0" fontId="9" fillId="0" borderId="6">
      <alignment horizontal="center" vertical="center"/>
    </xf>
    <xf numFmtId="0" fontId="9" fillId="5" borderId="6">
      <alignment horizontal="center" vertical="center" textRotation="90" wrapText="1"/>
    </xf>
    <xf numFmtId="0" fontId="9" fillId="6" borderId="6">
      <alignment horizontal="center" vertical="center"/>
    </xf>
    <xf numFmtId="166" fontId="9" fillId="0" borderId="6">
      <alignment horizontal="center" vertical="center"/>
    </xf>
    <xf numFmtId="0" fontId="9" fillId="6" borderId="6">
      <alignment horizontal="center" vertical="center"/>
    </xf>
    <xf numFmtId="0" fontId="9" fillId="0" borderId="6">
      <alignment horizontal="left" vertical="center"/>
    </xf>
    <xf numFmtId="0" fontId="9" fillId="0" borderId="6">
      <alignment horizontal="center" vertical="center"/>
    </xf>
    <xf numFmtId="0" fontId="9" fillId="7" borderId="6">
      <alignment horizontal="center" vertical="center"/>
    </xf>
    <xf numFmtId="0" fontId="10" fillId="8" borderId="8">
      <alignment horizontal="center" vertical="center"/>
    </xf>
    <xf numFmtId="0" fontId="10" fillId="8" borderId="8">
      <alignment horizontal="center" vertical="center" wrapText="1"/>
    </xf>
    <xf numFmtId="0" fontId="10" fillId="8" borderId="8">
      <alignment horizontal="left" vertical="center"/>
    </xf>
    <xf numFmtId="167" fontId="10" fillId="8" borderId="8">
      <alignment horizontal="center" vertical="center"/>
    </xf>
  </cellStyleXfs>
  <cellXfs count="54">
    <xf numFmtId="0" fontId="0" fillId="0" borderId="0" xfId="0"/>
    <xf numFmtId="0" fontId="1" fillId="2" borderId="0"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0" borderId="1" xfId="0" applyFont="1" applyBorder="1" applyAlignment="1" applyProtection="1">
      <alignment vertical="center"/>
      <protection hidden="1"/>
    </xf>
    <xf numFmtId="0" fontId="2" fillId="2" borderId="0" xfId="0" applyFont="1" applyFill="1" applyBorder="1" applyAlignment="1" applyProtection="1">
      <alignment vertical="top" wrapText="1"/>
    </xf>
    <xf numFmtId="0" fontId="2" fillId="2" borderId="0" xfId="0" applyFont="1" applyFill="1" applyBorder="1" applyAlignment="1" applyProtection="1">
      <alignment vertical="center" wrapText="1"/>
    </xf>
    <xf numFmtId="0" fontId="1" fillId="2" borderId="0" xfId="0" applyFont="1" applyFill="1" applyBorder="1" applyAlignment="1" applyProtection="1">
      <alignment vertical="center"/>
    </xf>
    <xf numFmtId="0" fontId="3" fillId="2" borderId="2" xfId="0" applyFont="1" applyFill="1" applyBorder="1" applyAlignment="1" applyProtection="1">
      <alignment vertical="center"/>
    </xf>
    <xf numFmtId="0" fontId="3" fillId="2" borderId="0" xfId="0" applyFont="1" applyFill="1" applyBorder="1" applyAlignment="1" applyProtection="1">
      <alignment vertical="center"/>
    </xf>
    <xf numFmtId="0" fontId="4" fillId="2" borderId="0" xfId="0" applyFont="1" applyFill="1" applyAlignment="1" applyProtection="1">
      <alignment vertical="center"/>
      <protection hidden="1"/>
    </xf>
    <xf numFmtId="0" fontId="5" fillId="2" borderId="0" xfId="0" applyFont="1" applyFill="1" applyBorder="1" applyAlignment="1" applyProtection="1">
      <alignment horizontal="left" vertical="center"/>
    </xf>
    <xf numFmtId="0" fontId="4" fillId="2" borderId="0" xfId="0" applyFont="1" applyFill="1" applyBorder="1" applyAlignment="1" applyProtection="1">
      <alignment vertical="center"/>
      <protection hidden="1"/>
    </xf>
    <xf numFmtId="0" fontId="4" fillId="2" borderId="3" xfId="0" applyFont="1" applyFill="1" applyBorder="1" applyAlignment="1" applyProtection="1">
      <alignment vertical="center"/>
      <protection hidden="1"/>
    </xf>
    <xf numFmtId="38" fontId="6" fillId="3" borderId="4" xfId="0" applyNumberFormat="1" applyFont="1" applyFill="1" applyBorder="1" applyAlignment="1" applyProtection="1">
      <alignment vertical="center" wrapText="1"/>
    </xf>
    <xf numFmtId="0" fontId="4" fillId="0" borderId="0" xfId="0" applyFont="1" applyAlignment="1" applyProtection="1">
      <alignment vertical="center"/>
      <protection hidden="1"/>
    </xf>
    <xf numFmtId="0" fontId="5" fillId="2" borderId="0" xfId="0" applyFont="1" applyFill="1" applyBorder="1" applyAlignment="1" applyProtection="1">
      <alignment vertical="center"/>
    </xf>
    <xf numFmtId="0" fontId="6" fillId="4" borderId="4" xfId="0" applyFont="1" applyFill="1" applyBorder="1" applyAlignment="1" applyProtection="1">
      <alignment horizontal="left" vertical="center"/>
    </xf>
    <xf numFmtId="0" fontId="7" fillId="0" borderId="6" xfId="0" applyFont="1" applyFill="1" applyBorder="1" applyAlignment="1" applyProtection="1">
      <alignment vertical="center"/>
    </xf>
    <xf numFmtId="0" fontId="6" fillId="4" borderId="7" xfId="0" applyFont="1" applyFill="1" applyBorder="1" applyAlignment="1" applyProtection="1">
      <alignment horizontal="left" vertical="center"/>
    </xf>
    <xf numFmtId="164" fontId="7" fillId="0" borderId="6" xfId="0" applyNumberFormat="1" applyFont="1" applyFill="1" applyBorder="1" applyAlignment="1" applyProtection="1">
      <alignment vertical="center"/>
    </xf>
    <xf numFmtId="0" fontId="4" fillId="2" borderId="2" xfId="0" applyFont="1" applyFill="1" applyBorder="1" applyAlignment="1" applyProtection="1">
      <alignment vertical="center"/>
      <protection hidden="1"/>
    </xf>
    <xf numFmtId="0" fontId="8" fillId="0" borderId="0" xfId="0" applyFont="1" applyAlignment="1" applyProtection="1">
      <alignment vertical="center"/>
    </xf>
    <xf numFmtId="0" fontId="9" fillId="5" borderId="6" xfId="1">
      <alignment horizontal="center" vertical="center" wrapText="1"/>
    </xf>
    <xf numFmtId="0" fontId="9" fillId="0" borderId="6" xfId="2" applyProtection="1">
      <alignment horizontal="center" vertical="center"/>
      <protection locked="0"/>
    </xf>
    <xf numFmtId="0" fontId="9" fillId="6" borderId="6" xfId="4">
      <alignment horizontal="center" vertical="center"/>
    </xf>
    <xf numFmtId="166" fontId="9" fillId="0" borderId="6" xfId="5" applyProtection="1">
      <alignment horizontal="center" vertical="center"/>
      <protection locked="0"/>
    </xf>
    <xf numFmtId="0" fontId="9" fillId="6" borderId="6" xfId="6">
      <alignment horizontal="center" vertical="center"/>
    </xf>
    <xf numFmtId="0" fontId="9" fillId="0" borderId="6" xfId="7" applyProtection="1">
      <alignment horizontal="left" vertical="center"/>
      <protection locked="0"/>
    </xf>
    <xf numFmtId="0" fontId="9" fillId="0" borderId="6" xfId="8">
      <alignment horizontal="center" vertical="center"/>
    </xf>
    <xf numFmtId="0" fontId="9" fillId="7" borderId="6" xfId="9" applyFont="1">
      <alignment horizontal="center" vertical="center"/>
    </xf>
    <xf numFmtId="0" fontId="10" fillId="8" borderId="8" xfId="10" applyProtection="1">
      <alignment horizontal="center" vertical="center"/>
      <protection locked="0"/>
    </xf>
    <xf numFmtId="0" fontId="10" fillId="8" borderId="8" xfId="11">
      <alignment horizontal="center" vertical="center" wrapText="1"/>
    </xf>
    <xf numFmtId="0" fontId="10" fillId="8" borderId="8" xfId="12" applyProtection="1">
      <alignment horizontal="left" vertical="center"/>
      <protection locked="0"/>
    </xf>
    <xf numFmtId="167" fontId="10" fillId="8" borderId="8" xfId="13" applyProtection="1">
      <alignment horizontal="center" vertical="center"/>
      <protection locked="0"/>
    </xf>
    <xf numFmtId="167" fontId="10" fillId="8" borderId="8" xfId="13">
      <alignment horizontal="center" vertical="center"/>
    </xf>
    <xf numFmtId="0" fontId="9" fillId="7" borderId="8" xfId="9" applyFont="1" applyBorder="1">
      <alignment horizontal="center" vertical="center"/>
    </xf>
    <xf numFmtId="167" fontId="10" fillId="7" borderId="8" xfId="13" applyFill="1">
      <alignment horizontal="center" vertical="center"/>
    </xf>
    <xf numFmtId="0" fontId="8" fillId="0" borderId="0" xfId="0" applyFont="1" applyAlignment="1" applyProtection="1">
      <alignment vertical="center" wrapText="1"/>
    </xf>
    <xf numFmtId="0" fontId="9" fillId="5" borderId="6" xfId="1" applyAlignment="1">
      <alignment horizontal="center" vertical="center" wrapText="1"/>
    </xf>
    <xf numFmtId="0" fontId="9" fillId="0" borderId="6" xfId="2" applyAlignment="1" applyProtection="1">
      <alignment horizontal="center" vertical="center" wrapText="1"/>
      <protection locked="0"/>
    </xf>
    <xf numFmtId="0" fontId="9" fillId="6" borderId="6" xfId="4" applyAlignment="1">
      <alignment horizontal="center" vertical="center" wrapText="1"/>
    </xf>
    <xf numFmtId="0" fontId="9" fillId="7" borderId="6" xfId="9" applyFont="1" applyAlignment="1">
      <alignment horizontal="center" vertical="center" wrapText="1"/>
    </xf>
    <xf numFmtId="0" fontId="10" fillId="8" borderId="8" xfId="11" applyAlignment="1">
      <alignment horizontal="center" vertical="center" wrapText="1"/>
    </xf>
    <xf numFmtId="0" fontId="9" fillId="5" borderId="6" xfId="3">
      <alignment horizontal="center" vertical="center" textRotation="90" wrapText="1"/>
    </xf>
    <xf numFmtId="0" fontId="9" fillId="0" borderId="6" xfId="2">
      <alignment horizontal="center" vertical="center"/>
    </xf>
    <xf numFmtId="49" fontId="7" fillId="0" borderId="4" xfId="0" applyNumberFormat="1" applyFont="1" applyFill="1" applyBorder="1" applyAlignment="1" applyProtection="1">
      <alignment horizontal="center" vertical="center" wrapText="1"/>
    </xf>
    <xf numFmtId="49" fontId="7" fillId="0" borderId="5" xfId="0" applyNumberFormat="1" applyFont="1" applyFill="1" applyBorder="1" applyAlignment="1" applyProtection="1">
      <alignment horizontal="center" vertical="center" wrapText="1"/>
    </xf>
    <xf numFmtId="1" fontId="7" fillId="0" borderId="4" xfId="0" applyNumberFormat="1" applyFont="1" applyFill="1" applyBorder="1" applyAlignment="1" applyProtection="1">
      <alignment horizontal="center" vertical="center" wrapText="1"/>
      <protection locked="0"/>
    </xf>
    <xf numFmtId="1" fontId="7" fillId="0" borderId="5" xfId="0" applyNumberFormat="1" applyFont="1" applyFill="1" applyBorder="1" applyAlignment="1" applyProtection="1">
      <alignment horizontal="center" vertical="center" wrapText="1"/>
      <protection locked="0"/>
    </xf>
    <xf numFmtId="165" fontId="7" fillId="0" borderId="4" xfId="0" applyNumberFormat="1" applyFont="1" applyFill="1" applyBorder="1" applyAlignment="1" applyProtection="1">
      <alignment horizontal="center" vertical="center" wrapText="1"/>
      <protection locked="0"/>
    </xf>
    <xf numFmtId="165" fontId="7" fillId="0" borderId="5"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hidden="1"/>
    </xf>
    <xf numFmtId="0" fontId="2" fillId="3" borderId="0" xfId="0" applyFont="1" applyFill="1" applyBorder="1" applyAlignment="1" applyProtection="1">
      <alignment horizontal="center" vertical="top" wrapText="1"/>
    </xf>
    <xf numFmtId="0" fontId="2" fillId="3" borderId="0" xfId="0" applyFont="1" applyFill="1" applyBorder="1" applyAlignment="1" applyProtection="1">
      <alignment horizontal="center" vertical="center" wrapText="1"/>
    </xf>
  </cellXfs>
  <cellStyles count="14">
    <cellStyle name="ArticleBody" xfId="10"/>
    <cellStyle name="ArticleBody_currency" xfId="13"/>
    <cellStyle name="ArticleBody_text" xfId="12"/>
    <cellStyle name="ArticleBody_UNSCPCDescription" xfId="11"/>
    <cellStyle name="ArticleHeader" xfId="9"/>
    <cellStyle name="Normal" xfId="0" builtinId="0"/>
    <cellStyle name="ProcessBody" xfId="2"/>
    <cellStyle name="ProcessBody_address" xfId="7"/>
    <cellStyle name="ProcessBody_datetime" xfId="5"/>
    <cellStyle name="ProcessBody_number" xfId="8"/>
    <cellStyle name="ProcessHeader" xfId="1"/>
    <cellStyle name="ProcessHeader_vertical" xfId="3"/>
    <cellStyle name="ProcessSubHeader" xfId="4"/>
    <cellStyle name="ProcessSubHeader_lugar" xfId="6"/>
  </cellStyles>
  <dxfs count="5">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552450</xdr:colOff>
      <xdr:row>4</xdr:row>
      <xdr:rowOff>15875</xdr:rowOff>
    </xdr:to>
    <xdr:pic>
      <xdr:nvPicPr>
        <xdr:cNvPr id="2" name="Picture 4"/>
        <xdr:cNvPicPr>
          <a:picLocks noChangeAspect="1"/>
        </xdr:cNvPicPr>
      </xdr:nvPicPr>
      <xdr:blipFill>
        <a:blip xmlns:r="http://schemas.openxmlformats.org/officeDocument/2006/relationships" r:embed="rId1"/>
        <a:stretch>
          <a:fillRect/>
        </a:stretch>
      </xdr:blipFill>
      <xdr:spPr bwMode="auto">
        <a:xfrm>
          <a:off x="0" y="161925"/>
          <a:ext cx="20383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9526</xdr:rowOff>
    </xdr:from>
    <xdr:to>
      <xdr:col>5</xdr:col>
      <xdr:colOff>1422400</xdr:colOff>
      <xdr:row>4</xdr:row>
      <xdr:rowOff>174846</xdr:rowOff>
    </xdr:to>
    <xdr:pic>
      <xdr:nvPicPr>
        <xdr:cNvPr id="3" name="Picture 5"/>
        <xdr:cNvPicPr>
          <a:picLocks noChangeAspect="1"/>
        </xdr:cNvPicPr>
      </xdr:nvPicPr>
      <xdr:blipFill>
        <a:blip xmlns:r="http://schemas.openxmlformats.org/officeDocument/2006/relationships" r:embed="rId2"/>
        <a:stretch>
          <a:fillRect/>
        </a:stretch>
      </xdr:blipFill>
      <xdr:spPr>
        <a:xfrm>
          <a:off x="4152900" y="9526"/>
          <a:ext cx="1079500" cy="10860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willmore/Downloads/PACC%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cell r="P44"/>
          <cell r="Q44"/>
        </row>
        <row r="45">
          <cell r="E45" t="str">
            <v>Hermanas Mirabal</v>
          </cell>
          <cell r="F45" t="str">
            <v>Villa Tapia</v>
          </cell>
          <cell r="I45" t="str">
            <v>El Pino</v>
          </cell>
          <cell r="J45" t="str">
            <v>Manuel Bueno</v>
          </cell>
          <cell r="P45"/>
          <cell r="Q45"/>
        </row>
        <row r="46">
          <cell r="E46" t="str">
            <v>María Trinidad Sánchez</v>
          </cell>
          <cell r="F46" t="str">
            <v>Nagua</v>
          </cell>
          <cell r="I46" t="str">
            <v>Loma de Cabrera</v>
          </cell>
          <cell r="J46" t="str">
            <v>Capotillo</v>
          </cell>
          <cell r="P46"/>
          <cell r="Q46"/>
        </row>
        <row r="47">
          <cell r="E47" t="str">
            <v>María Trinidad Sánchez</v>
          </cell>
          <cell r="F47" t="str">
            <v>Cabrera</v>
          </cell>
          <cell r="I47" t="str">
            <v>Loma de Cabrera</v>
          </cell>
          <cell r="J47" t="str">
            <v>Loma de Cabrera</v>
          </cell>
          <cell r="P47"/>
          <cell r="Q47"/>
        </row>
        <row r="48">
          <cell r="E48" t="str">
            <v>María Trinidad Sánchez</v>
          </cell>
          <cell r="F48" t="str">
            <v>El Factor</v>
          </cell>
          <cell r="I48" t="str">
            <v>Loma de Cabrera</v>
          </cell>
          <cell r="J48" t="str">
            <v>Santiago de la Cruz</v>
          </cell>
          <cell r="P48"/>
          <cell r="Q48"/>
        </row>
        <row r="49">
          <cell r="E49" t="str">
            <v>María Trinidad Sánchez</v>
          </cell>
          <cell r="F49" t="str">
            <v>Río San Juan</v>
          </cell>
          <cell r="I49" t="str">
            <v>Partido</v>
          </cell>
          <cell r="J49" t="str">
            <v>Partido</v>
          </cell>
          <cell r="P49"/>
          <cell r="Q49"/>
        </row>
        <row r="50">
          <cell r="E50" t="str">
            <v>Samaná</v>
          </cell>
          <cell r="F50" t="str">
            <v>Santa Bárbara de Samaná</v>
          </cell>
          <cell r="I50" t="str">
            <v>Restauración</v>
          </cell>
          <cell r="J50" t="str">
            <v>Restauración</v>
          </cell>
          <cell r="P50"/>
          <cell r="Q50"/>
        </row>
        <row r="51">
          <cell r="E51" t="str">
            <v>Samaná</v>
          </cell>
          <cell r="F51" t="str">
            <v>Sánchez</v>
          </cell>
          <cell r="I51" t="str">
            <v>Castañuelas</v>
          </cell>
          <cell r="J51" t="str">
            <v>Castañuelas</v>
          </cell>
          <cell r="P51"/>
          <cell r="Q51"/>
        </row>
        <row r="52">
          <cell r="E52" t="str">
            <v>Samaná</v>
          </cell>
          <cell r="F52" t="str">
            <v>Las Terrenas</v>
          </cell>
          <cell r="I52" t="str">
            <v>Castañuelas</v>
          </cell>
          <cell r="J52" t="str">
            <v>Palo Verde</v>
          </cell>
          <cell r="P52"/>
          <cell r="Q52"/>
        </row>
        <row r="53">
          <cell r="E53" t="str">
            <v>Valverde</v>
          </cell>
          <cell r="F53" t="str">
            <v>Santa Cruz de Mao</v>
          </cell>
          <cell r="I53" t="str">
            <v>Guayubín</v>
          </cell>
          <cell r="J53" t="str">
            <v>Cana Chapetón</v>
          </cell>
          <cell r="P53"/>
          <cell r="Q53"/>
        </row>
        <row r="54">
          <cell r="E54" t="str">
            <v>Valverde</v>
          </cell>
          <cell r="F54" t="str">
            <v>Esperanza</v>
          </cell>
          <cell r="I54" t="str">
            <v>Guayubín</v>
          </cell>
          <cell r="J54" t="str">
            <v>Guayubín</v>
          </cell>
          <cell r="P54"/>
          <cell r="Q54"/>
        </row>
        <row r="55">
          <cell r="E55" t="str">
            <v>Valverde</v>
          </cell>
          <cell r="F55" t="str">
            <v>Laguna Salada</v>
          </cell>
          <cell r="I55" t="str">
            <v>Guayubín</v>
          </cell>
          <cell r="J55" t="str">
            <v>Hatillo Palma</v>
          </cell>
          <cell r="P55"/>
          <cell r="Q55"/>
        </row>
        <row r="56">
          <cell r="E56" t="str">
            <v>Santiago Rodriguez</v>
          </cell>
          <cell r="F56" t="str">
            <v>San Ignacio de Sabaneta</v>
          </cell>
          <cell r="I56" t="str">
            <v>Guayubín</v>
          </cell>
          <cell r="J56" t="str">
            <v>Villa Elisa</v>
          </cell>
          <cell r="P56"/>
          <cell r="Q56"/>
        </row>
        <row r="57">
          <cell r="E57" t="str">
            <v>Santiago Rodriguez</v>
          </cell>
          <cell r="F57" t="str">
            <v>Villa los Almácigos</v>
          </cell>
          <cell r="I57" t="str">
            <v>Las Matas de Santa Cruz</v>
          </cell>
          <cell r="J57" t="str">
            <v>Las Matas de Santa Cruz</v>
          </cell>
          <cell r="P57"/>
          <cell r="Q57"/>
        </row>
        <row r="58">
          <cell r="E58" t="str">
            <v>Santiago Rodriguez</v>
          </cell>
          <cell r="F58" t="str">
            <v>Monción</v>
          </cell>
          <cell r="I58" t="str">
            <v>Pepillo Salcedo</v>
          </cell>
          <cell r="J58" t="str">
            <v>Pepillo Salcedo</v>
          </cell>
          <cell r="P58"/>
          <cell r="Q58"/>
        </row>
        <row r="59">
          <cell r="E59" t="str">
            <v>Montecristi</v>
          </cell>
          <cell r="F59" t="str">
            <v>San Fernando de Montecristi</v>
          </cell>
          <cell r="I59" t="str">
            <v>San Fernando de Montecristi</v>
          </cell>
          <cell r="J59" t="str">
            <v>San Fernando de Montecristi</v>
          </cell>
          <cell r="P59"/>
          <cell r="Q59"/>
        </row>
        <row r="60">
          <cell r="E60" t="str">
            <v>Montecristi</v>
          </cell>
          <cell r="F60" t="str">
            <v>Castañuelas</v>
          </cell>
          <cell r="I60" t="str">
            <v>Villa Vásquez</v>
          </cell>
          <cell r="J60" t="str">
            <v>Villa Vásquez</v>
          </cell>
          <cell r="P60"/>
          <cell r="Q60"/>
        </row>
        <row r="61">
          <cell r="E61" t="str">
            <v>Montecristi</v>
          </cell>
          <cell r="F61" t="str">
            <v>Guayubín</v>
          </cell>
          <cell r="I61" t="str">
            <v>Monción</v>
          </cell>
          <cell r="J61" t="str">
            <v>Monción</v>
          </cell>
          <cell r="P61"/>
          <cell r="Q61"/>
        </row>
        <row r="62">
          <cell r="E62" t="str">
            <v>Montecristi</v>
          </cell>
          <cell r="F62" t="str">
            <v>Las Matas de Santa Cruz</v>
          </cell>
          <cell r="I62" t="str">
            <v>San Ignacio de Sabaneta</v>
          </cell>
          <cell r="J62" t="str">
            <v>San Ignacio de Sabaneta</v>
          </cell>
          <cell r="P62"/>
          <cell r="Q62"/>
        </row>
        <row r="63">
          <cell r="E63" t="str">
            <v>Montecristi</v>
          </cell>
          <cell r="F63" t="str">
            <v>Pepillo Salcedo</v>
          </cell>
          <cell r="I63" t="str">
            <v>Villa los Almácigos</v>
          </cell>
          <cell r="J63" t="str">
            <v>Villa los Almácigos</v>
          </cell>
          <cell r="P63"/>
          <cell r="Q63"/>
        </row>
        <row r="64">
          <cell r="E64" t="str">
            <v>Montecristi</v>
          </cell>
          <cell r="F64" t="str">
            <v>Villa Vásquez</v>
          </cell>
          <cell r="I64" t="str">
            <v>Esperanza</v>
          </cell>
          <cell r="J64" t="str">
            <v>Boca de Mao</v>
          </cell>
          <cell r="P64"/>
          <cell r="Q64"/>
        </row>
        <row r="65">
          <cell r="E65" t="str">
            <v>Dajabón</v>
          </cell>
          <cell r="F65" t="str">
            <v>Dajabón</v>
          </cell>
          <cell r="I65" t="str">
            <v>Esperanza</v>
          </cell>
          <cell r="J65" t="str">
            <v>Esperanza</v>
          </cell>
          <cell r="P65"/>
          <cell r="Q65"/>
        </row>
        <row r="66">
          <cell r="E66" t="str">
            <v>Dajabón</v>
          </cell>
          <cell r="F66" t="str">
            <v>Loma de Cabrera</v>
          </cell>
          <cell r="I66" t="str">
            <v>Esperanza</v>
          </cell>
          <cell r="J66" t="str">
            <v>Jicomé</v>
          </cell>
          <cell r="P66"/>
          <cell r="Q66"/>
        </row>
        <row r="67">
          <cell r="E67" t="str">
            <v>Dajabón</v>
          </cell>
          <cell r="F67" t="str">
            <v>Restauración</v>
          </cell>
          <cell r="I67" t="str">
            <v>Esperanza</v>
          </cell>
          <cell r="J67" t="str">
            <v>Maizal</v>
          </cell>
          <cell r="P67"/>
          <cell r="Q67"/>
        </row>
        <row r="68">
          <cell r="E68" t="str">
            <v>Dajabón</v>
          </cell>
          <cell r="F68" t="str">
            <v>Partido</v>
          </cell>
          <cell r="I68" t="str">
            <v>Esperanza</v>
          </cell>
          <cell r="J68" t="str">
            <v>Paradero</v>
          </cell>
          <cell r="P68"/>
          <cell r="Q68"/>
        </row>
        <row r="69">
          <cell r="E69" t="str">
            <v>Dajabón</v>
          </cell>
          <cell r="F69" t="str">
            <v>El Pino</v>
          </cell>
          <cell r="I69" t="str">
            <v>Laguna Salada</v>
          </cell>
          <cell r="J69" t="str">
            <v>Cruce de Guayacanes</v>
          </cell>
          <cell r="P69"/>
          <cell r="Q69"/>
        </row>
        <row r="70">
          <cell r="E70" t="str">
            <v>San Cristóbal</v>
          </cell>
          <cell r="F70" t="str">
            <v>San Cristóbal</v>
          </cell>
          <cell r="I70" t="str">
            <v>Laguna Salada</v>
          </cell>
          <cell r="J70" t="str">
            <v>Jaibón (Laguna Salada)</v>
          </cell>
          <cell r="P70"/>
          <cell r="Q70"/>
        </row>
        <row r="71">
          <cell r="E71" t="str">
            <v>San Cristóbal</v>
          </cell>
          <cell r="F71" t="str">
            <v>Bajos de Haina</v>
          </cell>
          <cell r="I71" t="str">
            <v>Laguna Salada</v>
          </cell>
          <cell r="J71" t="str">
            <v>La Caya</v>
          </cell>
          <cell r="P71"/>
          <cell r="Q71"/>
        </row>
        <row r="72">
          <cell r="E72" t="str">
            <v>San Cristóbal</v>
          </cell>
          <cell r="F72" t="str">
            <v>Los Cacaos</v>
          </cell>
          <cell r="I72" t="str">
            <v>Laguna Salada</v>
          </cell>
          <cell r="J72" t="str">
            <v>Laguna Salada</v>
          </cell>
          <cell r="P72"/>
          <cell r="Q72"/>
        </row>
        <row r="73">
          <cell r="E73" t="str">
            <v>San Cristóbal</v>
          </cell>
          <cell r="F73" t="str">
            <v>Cambita Garabitos</v>
          </cell>
          <cell r="I73" t="str">
            <v>Santa Cruz de Mao</v>
          </cell>
          <cell r="J73" t="str">
            <v>Ámina</v>
          </cell>
          <cell r="P73"/>
          <cell r="Q73"/>
        </row>
        <row r="74">
          <cell r="E74" t="str">
            <v>San Cristóbal</v>
          </cell>
          <cell r="F74" t="str">
            <v>San Gregorio de Nigua</v>
          </cell>
          <cell r="I74" t="str">
            <v>Santa Cruz de Mao</v>
          </cell>
          <cell r="J74" t="str">
            <v>Guatapanal</v>
          </cell>
          <cell r="P74"/>
          <cell r="Q74"/>
        </row>
        <row r="75">
          <cell r="E75" t="str">
            <v>San Cristóbal</v>
          </cell>
          <cell r="F75" t="str">
            <v>Sabana Grande de Palenque</v>
          </cell>
          <cell r="I75" t="str">
            <v>Santa Cruz de Mao</v>
          </cell>
          <cell r="J75" t="str">
            <v>Jaibón (Pueblo Nuevo)</v>
          </cell>
          <cell r="P75"/>
          <cell r="Q75"/>
        </row>
        <row r="76">
          <cell r="E76" t="str">
            <v>San Cristóbal</v>
          </cell>
          <cell r="F76" t="str">
            <v>Yaguate</v>
          </cell>
          <cell r="I76" t="str">
            <v>Santa Cruz de Mao</v>
          </cell>
          <cell r="J76" t="str">
            <v>Santa Cruz de Mao</v>
          </cell>
          <cell r="P76"/>
          <cell r="Q76"/>
        </row>
        <row r="77">
          <cell r="E77" t="str">
            <v>San Cristóbal</v>
          </cell>
          <cell r="F77" t="str">
            <v>Villa Altagracia</v>
          </cell>
          <cell r="I77" t="str">
            <v>Cayetano Germosén</v>
          </cell>
          <cell r="J77" t="str">
            <v>Cayetano Germosén</v>
          </cell>
          <cell r="P77"/>
          <cell r="Q77"/>
        </row>
        <row r="78">
          <cell r="E78" t="str">
            <v>Peravia</v>
          </cell>
          <cell r="F78" t="str">
            <v>Baní</v>
          </cell>
          <cell r="I78" t="str">
            <v>Gaspar Hernández</v>
          </cell>
          <cell r="J78" t="str">
            <v>Gaspar Hernández</v>
          </cell>
          <cell r="P78"/>
          <cell r="Q78"/>
        </row>
        <row r="79">
          <cell r="E79" t="str">
            <v>Peravia</v>
          </cell>
          <cell r="F79" t="str">
            <v>Nizao</v>
          </cell>
          <cell r="I79" t="str">
            <v>Gaspar Hernández</v>
          </cell>
          <cell r="J79" t="str">
            <v>Joba Arriba</v>
          </cell>
          <cell r="P79"/>
          <cell r="Q79"/>
        </row>
        <row r="80">
          <cell r="E80" t="str">
            <v>San José de Ocoa</v>
          </cell>
          <cell r="F80" t="str">
            <v>San José de Ocoa</v>
          </cell>
          <cell r="I80" t="str">
            <v>Gaspar Hernández</v>
          </cell>
          <cell r="J80" t="str">
            <v>Veragua</v>
          </cell>
          <cell r="P80"/>
          <cell r="Q80"/>
        </row>
        <row r="81">
          <cell r="E81" t="str">
            <v>San José de Ocoa</v>
          </cell>
          <cell r="F81" t="str">
            <v>Sabana Larga</v>
          </cell>
          <cell r="I81" t="str">
            <v>Gaspar Hernández</v>
          </cell>
          <cell r="J81" t="str">
            <v>Villa Magante</v>
          </cell>
          <cell r="P81"/>
          <cell r="Q81"/>
        </row>
        <row r="82">
          <cell r="E82" t="str">
            <v>San José de Ocoa</v>
          </cell>
          <cell r="F82" t="str">
            <v>Rancho Arriba</v>
          </cell>
          <cell r="I82" t="str">
            <v>Jamao al Norte</v>
          </cell>
          <cell r="J82" t="str">
            <v>Jamao al Norte</v>
          </cell>
          <cell r="P82"/>
          <cell r="Q82"/>
        </row>
        <row r="83">
          <cell r="E83" t="str">
            <v>Azua</v>
          </cell>
          <cell r="F83" t="str">
            <v>Azua de Compostela</v>
          </cell>
          <cell r="I83" t="str">
            <v>Moca</v>
          </cell>
          <cell r="J83" t="str">
            <v>Canca la Reina</v>
          </cell>
          <cell r="P83"/>
          <cell r="Q83"/>
        </row>
        <row r="84">
          <cell r="E84" t="str">
            <v>Azua</v>
          </cell>
          <cell r="F84" t="str">
            <v>Guayabal</v>
          </cell>
          <cell r="I84" t="str">
            <v>Moca</v>
          </cell>
          <cell r="J84" t="str">
            <v>El Higuerito</v>
          </cell>
          <cell r="P84"/>
          <cell r="Q84"/>
        </row>
        <row r="85">
          <cell r="E85" t="str">
            <v>Azua</v>
          </cell>
          <cell r="F85" t="str">
            <v>Las Charcas</v>
          </cell>
          <cell r="I85" t="str">
            <v>Moca</v>
          </cell>
          <cell r="J85" t="str">
            <v>José Contreras</v>
          </cell>
          <cell r="P85"/>
          <cell r="Q85"/>
        </row>
        <row r="86">
          <cell r="E86" t="str">
            <v>Azua</v>
          </cell>
          <cell r="F86" t="str">
            <v>Las Yayas de Viajama</v>
          </cell>
          <cell r="I86" t="str">
            <v>Moca</v>
          </cell>
          <cell r="J86" t="str">
            <v>Juan López</v>
          </cell>
          <cell r="P86"/>
          <cell r="Q86"/>
        </row>
        <row r="87">
          <cell r="E87" t="str">
            <v>Azua</v>
          </cell>
          <cell r="F87" t="str">
            <v>Padre Las Casas</v>
          </cell>
          <cell r="I87" t="str">
            <v>Moca</v>
          </cell>
          <cell r="J87" t="str">
            <v>La Ortega</v>
          </cell>
          <cell r="P87"/>
          <cell r="Q87"/>
        </row>
        <row r="88">
          <cell r="E88" t="str">
            <v>Azua</v>
          </cell>
          <cell r="F88" t="str">
            <v>Peralta</v>
          </cell>
          <cell r="I88" t="str">
            <v>Moca</v>
          </cell>
          <cell r="J88" t="str">
            <v>Las Lagunas Abajo</v>
          </cell>
          <cell r="P88"/>
          <cell r="Q88"/>
        </row>
        <row r="89">
          <cell r="E89" t="str">
            <v>Azua</v>
          </cell>
          <cell r="F89" t="str">
            <v>Sabana Yegua</v>
          </cell>
          <cell r="I89" t="str">
            <v>Moca</v>
          </cell>
          <cell r="J89" t="str">
            <v>Moca</v>
          </cell>
          <cell r="P89"/>
          <cell r="Q89"/>
        </row>
        <row r="90">
          <cell r="E90" t="str">
            <v>Azua</v>
          </cell>
          <cell r="F90" t="str">
            <v>Tábara Arriba</v>
          </cell>
          <cell r="I90" t="str">
            <v>Moca</v>
          </cell>
          <cell r="J90" t="str">
            <v>Monte de la Jagua</v>
          </cell>
          <cell r="P90"/>
          <cell r="Q90"/>
        </row>
        <row r="91">
          <cell r="E91" t="str">
            <v>Azua</v>
          </cell>
          <cell r="F91" t="str">
            <v>Estebanía</v>
          </cell>
          <cell r="I91" t="str">
            <v>Moca</v>
          </cell>
          <cell r="J91" t="str">
            <v>San Víctor</v>
          </cell>
          <cell r="P91"/>
          <cell r="Q91"/>
        </row>
        <row r="92">
          <cell r="E92" t="str">
            <v>Azua</v>
          </cell>
          <cell r="F92" t="str">
            <v>Pueblo Viejo</v>
          </cell>
          <cell r="I92" t="str">
            <v>Altamira</v>
          </cell>
          <cell r="J92" t="str">
            <v>Altamira</v>
          </cell>
          <cell r="P92"/>
          <cell r="Q92"/>
        </row>
        <row r="93">
          <cell r="E93" t="str">
            <v>Barahona</v>
          </cell>
          <cell r="F93" t="str">
            <v>Santa Cruz de Barahona</v>
          </cell>
          <cell r="I93" t="str">
            <v>Altamira</v>
          </cell>
          <cell r="J93" t="str">
            <v>Río Grande</v>
          </cell>
          <cell r="P93"/>
          <cell r="Q93"/>
        </row>
        <row r="94">
          <cell r="E94" t="str">
            <v>Barahona</v>
          </cell>
          <cell r="F94" t="str">
            <v>Cabral</v>
          </cell>
          <cell r="I94" t="str">
            <v>Guananico</v>
          </cell>
          <cell r="J94" t="str">
            <v>Guananico</v>
          </cell>
          <cell r="P94"/>
          <cell r="Q94"/>
        </row>
        <row r="95">
          <cell r="E95" t="str">
            <v>Barahona</v>
          </cell>
          <cell r="F95" t="str">
            <v>Enriquillo</v>
          </cell>
          <cell r="I95" t="str">
            <v>Imbert</v>
          </cell>
          <cell r="J95" t="str">
            <v>Imbert</v>
          </cell>
          <cell r="P95"/>
          <cell r="Q95"/>
        </row>
        <row r="96">
          <cell r="E96" t="str">
            <v>Barahona</v>
          </cell>
          <cell r="F96" t="str">
            <v>Las Salinas</v>
          </cell>
          <cell r="I96" t="str">
            <v>Los Hidalgos</v>
          </cell>
          <cell r="J96" t="str">
            <v>Los Hidalgos</v>
          </cell>
          <cell r="P96"/>
          <cell r="Q96"/>
        </row>
        <row r="97">
          <cell r="E97" t="str">
            <v>Barahona</v>
          </cell>
          <cell r="F97" t="str">
            <v>Paraíso</v>
          </cell>
          <cell r="I97" t="str">
            <v>Los Hidalgos</v>
          </cell>
          <cell r="J97" t="str">
            <v>Navas</v>
          </cell>
          <cell r="P97"/>
          <cell r="Q97"/>
        </row>
        <row r="98">
          <cell r="E98" t="str">
            <v>Barahona</v>
          </cell>
          <cell r="F98" t="str">
            <v>Polo</v>
          </cell>
          <cell r="I98" t="str">
            <v>Luperón</v>
          </cell>
          <cell r="J98" t="str">
            <v>Belloso</v>
          </cell>
          <cell r="P98"/>
          <cell r="Q98"/>
        </row>
        <row r="99">
          <cell r="E99" t="str">
            <v>Barahona</v>
          </cell>
          <cell r="F99" t="str">
            <v>Vicente Noble</v>
          </cell>
          <cell r="I99" t="str">
            <v>Luperón</v>
          </cell>
          <cell r="J99" t="str">
            <v>El Estrecho de Luperón Omar Bross</v>
          </cell>
          <cell r="P99"/>
          <cell r="Q99"/>
        </row>
        <row r="100">
          <cell r="E100" t="str">
            <v>Barahona</v>
          </cell>
          <cell r="F100" t="str">
            <v>El Peñón</v>
          </cell>
          <cell r="I100" t="str">
            <v>Luperón</v>
          </cell>
          <cell r="J100" t="str">
            <v>La Isabela</v>
          </cell>
          <cell r="P100"/>
          <cell r="Q100"/>
        </row>
        <row r="101">
          <cell r="E101" t="str">
            <v>Barahona</v>
          </cell>
          <cell r="F101" t="str">
            <v>Fundación</v>
          </cell>
          <cell r="I101" t="str">
            <v>Luperón</v>
          </cell>
          <cell r="J101" t="str">
            <v>Luperón</v>
          </cell>
          <cell r="P101"/>
          <cell r="Q101"/>
        </row>
        <row r="102">
          <cell r="E102" t="str">
            <v>Barahona</v>
          </cell>
          <cell r="F102" t="str">
            <v>La Ciénaga</v>
          </cell>
          <cell r="I102" t="str">
            <v>San Felipe de Puerto Plata</v>
          </cell>
          <cell r="J102" t="str">
            <v>Maimón</v>
          </cell>
          <cell r="P102"/>
          <cell r="Q102"/>
        </row>
        <row r="103">
          <cell r="E103" t="str">
            <v>Barahona</v>
          </cell>
          <cell r="F103" t="str">
            <v>Jaquimeyes</v>
          </cell>
          <cell r="I103" t="str">
            <v>San Felipe de Puerto Plata</v>
          </cell>
          <cell r="J103" t="str">
            <v>San Felipe de Puerto Plata</v>
          </cell>
          <cell r="P103"/>
          <cell r="Q103"/>
        </row>
        <row r="104">
          <cell r="E104" t="str">
            <v>Bahoruco</v>
          </cell>
          <cell r="F104" t="str">
            <v>Neyba</v>
          </cell>
          <cell r="I104" t="str">
            <v>San Felipe de Puerto Plata</v>
          </cell>
          <cell r="J104" t="str">
            <v>Yásica Arriba</v>
          </cell>
          <cell r="P104"/>
          <cell r="Q104"/>
        </row>
        <row r="105">
          <cell r="E105" t="str">
            <v>Bahoruco</v>
          </cell>
          <cell r="F105" t="str">
            <v>Galván</v>
          </cell>
          <cell r="I105" t="str">
            <v>Sosúa</v>
          </cell>
          <cell r="J105" t="str">
            <v>Cabarete</v>
          </cell>
          <cell r="P105"/>
          <cell r="Q105"/>
        </row>
        <row r="106">
          <cell r="E106" t="str">
            <v>Bahoruco</v>
          </cell>
          <cell r="F106" t="str">
            <v>Los Ríos</v>
          </cell>
          <cell r="I106" t="str">
            <v>Sosúa</v>
          </cell>
          <cell r="J106" t="str">
            <v>Sabaneta de Yásica</v>
          </cell>
          <cell r="P106"/>
          <cell r="Q106"/>
        </row>
        <row r="107">
          <cell r="E107" t="str">
            <v>Bahoruco</v>
          </cell>
          <cell r="F107" t="str">
            <v>Tamayo</v>
          </cell>
          <cell r="I107" t="str">
            <v>Sosúa</v>
          </cell>
          <cell r="J107" t="str">
            <v>Sosúa</v>
          </cell>
          <cell r="P107"/>
          <cell r="Q107"/>
        </row>
        <row r="108">
          <cell r="E108" t="str">
            <v>Bahoruco</v>
          </cell>
          <cell r="F108" t="str">
            <v>Villa Jaragua</v>
          </cell>
          <cell r="I108" t="str">
            <v>Villa Isabela</v>
          </cell>
          <cell r="J108" t="str">
            <v>Estero Hondo</v>
          </cell>
          <cell r="P108"/>
          <cell r="Q108"/>
        </row>
        <row r="109">
          <cell r="E109" t="str">
            <v>Pedernales</v>
          </cell>
          <cell r="F109" t="str">
            <v>Pedernales</v>
          </cell>
          <cell r="I109" t="str">
            <v>Villa Isabela</v>
          </cell>
          <cell r="J109" t="str">
            <v>Gualete</v>
          </cell>
          <cell r="P109"/>
          <cell r="Q109"/>
        </row>
        <row r="110">
          <cell r="E110" t="str">
            <v>Pedernales</v>
          </cell>
          <cell r="F110" t="str">
            <v>Oviedo</v>
          </cell>
          <cell r="I110" t="str">
            <v>Villa Isabela</v>
          </cell>
          <cell r="J110" t="str">
            <v>La Jaiba</v>
          </cell>
          <cell r="P110"/>
          <cell r="Q110"/>
        </row>
        <row r="111">
          <cell r="E111" t="str">
            <v>Independencia</v>
          </cell>
          <cell r="F111" t="str">
            <v>Jimaní</v>
          </cell>
          <cell r="I111" t="str">
            <v>Villa Isabela</v>
          </cell>
          <cell r="J111" t="str">
            <v>Villa Isabela</v>
          </cell>
          <cell r="P111"/>
          <cell r="Q111"/>
        </row>
        <row r="112">
          <cell r="E112" t="str">
            <v>Independencia</v>
          </cell>
          <cell r="F112" t="str">
            <v>Duvergé</v>
          </cell>
          <cell r="I112" t="str">
            <v>Villa Montellano</v>
          </cell>
          <cell r="J112" t="str">
            <v>Villa Montellano</v>
          </cell>
          <cell r="P112"/>
          <cell r="Q112"/>
        </row>
        <row r="113">
          <cell r="E113" t="str">
            <v>Independencia</v>
          </cell>
          <cell r="F113" t="str">
            <v>La Descubierta</v>
          </cell>
          <cell r="I113" t="str">
            <v>Jánico</v>
          </cell>
          <cell r="J113" t="str">
            <v>El Caimito</v>
          </cell>
          <cell r="P113"/>
          <cell r="Q113"/>
        </row>
        <row r="114">
          <cell r="E114" t="str">
            <v>Independencia</v>
          </cell>
          <cell r="F114" t="str">
            <v>Mella</v>
          </cell>
          <cell r="I114" t="str">
            <v>Jánico</v>
          </cell>
          <cell r="J114" t="str">
            <v>Jánico</v>
          </cell>
          <cell r="P114"/>
          <cell r="Q114"/>
        </row>
        <row r="115">
          <cell r="E115" t="str">
            <v>Independencia</v>
          </cell>
          <cell r="F115" t="str">
            <v>Postrer Río</v>
          </cell>
          <cell r="I115" t="str">
            <v>Jánico</v>
          </cell>
          <cell r="J115" t="str">
            <v>Juncalito</v>
          </cell>
          <cell r="P115"/>
          <cell r="Q115"/>
        </row>
        <row r="116">
          <cell r="E116" t="str">
            <v>Independencia</v>
          </cell>
          <cell r="F116" t="str">
            <v>Cristóbal</v>
          </cell>
          <cell r="I116" t="str">
            <v>Licey al Medio</v>
          </cell>
          <cell r="J116" t="str">
            <v>Las Palomas</v>
          </cell>
          <cell r="P116"/>
          <cell r="Q116"/>
        </row>
        <row r="117">
          <cell r="E117" t="str">
            <v>San Juan</v>
          </cell>
          <cell r="F117" t="str">
            <v>San Juan de la Maguana</v>
          </cell>
          <cell r="I117" t="str">
            <v>Licey al Medio</v>
          </cell>
          <cell r="J117" t="str">
            <v>Licey al Medio</v>
          </cell>
          <cell r="P117"/>
          <cell r="Q117"/>
        </row>
        <row r="118">
          <cell r="E118" t="str">
            <v>San Juan</v>
          </cell>
          <cell r="F118" t="str">
            <v>Bohechio</v>
          </cell>
          <cell r="I118" t="str">
            <v>Puñal</v>
          </cell>
          <cell r="J118" t="str">
            <v>Canabacoa</v>
          </cell>
          <cell r="P118"/>
          <cell r="Q118"/>
        </row>
        <row r="119">
          <cell r="E119" t="str">
            <v>San Juan</v>
          </cell>
          <cell r="F119" t="str">
            <v>El Cercado</v>
          </cell>
          <cell r="I119" t="str">
            <v>Puñal</v>
          </cell>
          <cell r="J119" t="str">
            <v>Guayabal</v>
          </cell>
          <cell r="P119"/>
          <cell r="Q119"/>
        </row>
        <row r="120">
          <cell r="E120" t="str">
            <v>San Juan</v>
          </cell>
          <cell r="F120" t="str">
            <v>Juan de Herrera</v>
          </cell>
          <cell r="I120" t="str">
            <v>Puñal</v>
          </cell>
          <cell r="J120" t="str">
            <v>Puñal</v>
          </cell>
          <cell r="P120"/>
          <cell r="Q120"/>
        </row>
        <row r="121">
          <cell r="E121" t="str">
            <v>San Juan</v>
          </cell>
          <cell r="F121" t="str">
            <v>Las Matas de Farfán</v>
          </cell>
          <cell r="I121" t="str">
            <v>Sabana Iglesia</v>
          </cell>
          <cell r="J121" t="str">
            <v>Sabana Iglesia</v>
          </cell>
          <cell r="P121"/>
          <cell r="Q121"/>
        </row>
        <row r="122">
          <cell r="E122" t="str">
            <v>San Juan</v>
          </cell>
          <cell r="F122" t="str">
            <v>Vallejuelo</v>
          </cell>
          <cell r="I122" t="str">
            <v>San José de las Matas</v>
          </cell>
          <cell r="J122" t="str">
            <v>El Rubio</v>
          </cell>
          <cell r="P122"/>
          <cell r="Q122"/>
        </row>
        <row r="123">
          <cell r="E123" t="str">
            <v>Elías Piña</v>
          </cell>
          <cell r="F123" t="str">
            <v>Comendador</v>
          </cell>
          <cell r="I123" t="str">
            <v>San José de las Matas</v>
          </cell>
          <cell r="J123" t="str">
            <v>La Cuesta</v>
          </cell>
          <cell r="P123"/>
          <cell r="Q123"/>
        </row>
        <row r="124">
          <cell r="E124" t="str">
            <v>Elías Piña</v>
          </cell>
          <cell r="F124" t="str">
            <v>Bánica</v>
          </cell>
          <cell r="I124" t="str">
            <v>San José de las Matas</v>
          </cell>
          <cell r="J124" t="str">
            <v>Las Placetas</v>
          </cell>
          <cell r="P124"/>
          <cell r="Q124"/>
        </row>
        <row r="125">
          <cell r="E125" t="str">
            <v>Elías Piña</v>
          </cell>
          <cell r="F125" t="str">
            <v>El Llano</v>
          </cell>
          <cell r="I125" t="str">
            <v>San José de las Matas</v>
          </cell>
          <cell r="J125" t="str">
            <v>San José de las Matas</v>
          </cell>
          <cell r="P125"/>
          <cell r="Q125"/>
        </row>
        <row r="126">
          <cell r="E126" t="str">
            <v>Elías Piña</v>
          </cell>
          <cell r="F126" t="str">
            <v>Hondo Valle</v>
          </cell>
          <cell r="I126" t="str">
            <v>Santiago de los Caballeros</v>
          </cell>
          <cell r="J126" t="str">
            <v>Baitoa</v>
          </cell>
          <cell r="P126"/>
          <cell r="Q126"/>
        </row>
        <row r="127">
          <cell r="E127" t="str">
            <v>Elías Piña</v>
          </cell>
          <cell r="F127" t="str">
            <v>Pedro Santana</v>
          </cell>
          <cell r="I127" t="str">
            <v>Santiago de los Caballeros</v>
          </cell>
          <cell r="J127" t="str">
            <v>Hato del Yaque</v>
          </cell>
          <cell r="P127"/>
          <cell r="Q127"/>
        </row>
        <row r="128">
          <cell r="E128" t="str">
            <v>Elías Piña</v>
          </cell>
          <cell r="F128" t="str">
            <v>Juan Santiago</v>
          </cell>
          <cell r="I128" t="str">
            <v>Santiago de los Caballeros</v>
          </cell>
          <cell r="J128" t="str">
            <v>La Canela</v>
          </cell>
          <cell r="P128"/>
          <cell r="Q128"/>
        </row>
        <row r="129">
          <cell r="E129" t="str">
            <v>La Romana</v>
          </cell>
          <cell r="F129" t="str">
            <v>La Romana</v>
          </cell>
          <cell r="I129" t="str">
            <v>Santiago de los Caballeros</v>
          </cell>
          <cell r="J129" t="str">
            <v>Pedro García</v>
          </cell>
          <cell r="P129"/>
          <cell r="Q129"/>
        </row>
        <row r="130">
          <cell r="E130" t="str">
            <v>La Romana</v>
          </cell>
          <cell r="F130" t="str">
            <v>Guaymate</v>
          </cell>
          <cell r="I130" t="str">
            <v>Santiago de los Caballeros</v>
          </cell>
          <cell r="J130" t="str">
            <v>San Francisco de Jacagua</v>
          </cell>
          <cell r="P130"/>
          <cell r="Q130"/>
        </row>
        <row r="131">
          <cell r="E131" t="str">
            <v>La Romana</v>
          </cell>
          <cell r="F131" t="str">
            <v>Villa Hermosa</v>
          </cell>
          <cell r="I131" t="str">
            <v>Santiago de los Caballeros</v>
          </cell>
          <cell r="J131" t="str">
            <v>Santiago de los Caballeros</v>
          </cell>
          <cell r="P131"/>
          <cell r="Q131"/>
        </row>
        <row r="132">
          <cell r="E132" t="str">
            <v>La Altagracia</v>
          </cell>
          <cell r="F132" t="str">
            <v>Salvaléon de Higüey</v>
          </cell>
          <cell r="I132" t="str">
            <v>Tamboril</v>
          </cell>
          <cell r="J132" t="str">
            <v>Canca la Piedra</v>
          </cell>
          <cell r="P132"/>
          <cell r="Q132"/>
        </row>
        <row r="133">
          <cell r="E133" t="str">
            <v>La Altagracia</v>
          </cell>
          <cell r="F133" t="str">
            <v>San Rafael del Yuma</v>
          </cell>
          <cell r="I133" t="str">
            <v>Tamboril</v>
          </cell>
          <cell r="J133" t="str">
            <v>Tamboril</v>
          </cell>
          <cell r="P133"/>
          <cell r="Q133"/>
        </row>
        <row r="134">
          <cell r="E134" t="str">
            <v>El Seibo</v>
          </cell>
          <cell r="F134" t="str">
            <v>Santa Cruz del Seibo</v>
          </cell>
          <cell r="I134" t="str">
            <v>Villa Bisonó (Navarrete)</v>
          </cell>
          <cell r="J134" t="str">
            <v>Villa Bisonó (Navarrete)</v>
          </cell>
          <cell r="P134"/>
          <cell r="Q134"/>
        </row>
        <row r="135">
          <cell r="E135" t="str">
            <v>El Seibo</v>
          </cell>
          <cell r="F135" t="str">
            <v>Miches</v>
          </cell>
          <cell r="I135" t="str">
            <v>Villa González</v>
          </cell>
          <cell r="J135" t="str">
            <v>El Limón</v>
          </cell>
          <cell r="P135"/>
          <cell r="Q135"/>
        </row>
        <row r="136">
          <cell r="E136" t="str">
            <v>San Pedro de Macorís</v>
          </cell>
          <cell r="F136" t="str">
            <v>San Pedro de Macorís</v>
          </cell>
          <cell r="I136" t="str">
            <v>Villa González</v>
          </cell>
          <cell r="J136" t="str">
            <v>Palmar Arriba</v>
          </cell>
          <cell r="P136"/>
          <cell r="Q136"/>
        </row>
        <row r="137">
          <cell r="E137" t="str">
            <v>San Pedro de Macorís</v>
          </cell>
          <cell r="F137" t="str">
            <v>San José de los Llanos</v>
          </cell>
          <cell r="I137" t="str">
            <v>Villa González</v>
          </cell>
          <cell r="J137" t="str">
            <v>Villa González</v>
          </cell>
          <cell r="P137"/>
          <cell r="Q137"/>
        </row>
        <row r="138">
          <cell r="E138" t="str">
            <v>San Pedro de Macorís</v>
          </cell>
          <cell r="F138" t="str">
            <v>Ramón Santana</v>
          </cell>
          <cell r="I138" t="str">
            <v>Constanza</v>
          </cell>
          <cell r="J138" t="str">
            <v>Constanza</v>
          </cell>
          <cell r="P138"/>
          <cell r="Q138"/>
        </row>
        <row r="139">
          <cell r="E139" t="str">
            <v>San Pedro de Macorís</v>
          </cell>
          <cell r="F139" t="str">
            <v>Consuelo</v>
          </cell>
          <cell r="I139" t="str">
            <v>Constanza</v>
          </cell>
          <cell r="J139" t="str">
            <v>La Sabina</v>
          </cell>
          <cell r="P139"/>
          <cell r="Q139"/>
        </row>
        <row r="140">
          <cell r="E140" t="str">
            <v>San Pedro de Macorís</v>
          </cell>
          <cell r="F140" t="str">
            <v>Quisqueya</v>
          </cell>
          <cell r="I140" t="str">
            <v>Constanza</v>
          </cell>
          <cell r="J140" t="str">
            <v>Tireo Arriba</v>
          </cell>
          <cell r="P140"/>
          <cell r="Q140"/>
        </row>
        <row r="141">
          <cell r="E141" t="str">
            <v>San Pedro de Macorís</v>
          </cell>
          <cell r="F141" t="str">
            <v>Guayacanes</v>
          </cell>
          <cell r="I141" t="str">
            <v>Jarabacoa</v>
          </cell>
          <cell r="J141" t="str">
            <v>Buena Vista</v>
          </cell>
          <cell r="P141"/>
          <cell r="Q141"/>
        </row>
        <row r="142">
          <cell r="E142" t="str">
            <v>Hato Mayor</v>
          </cell>
          <cell r="F142" t="str">
            <v>Hato Mayor del Rey</v>
          </cell>
          <cell r="I142" t="str">
            <v>Jarabacoa</v>
          </cell>
          <cell r="J142" t="str">
            <v>Jarabacoa</v>
          </cell>
          <cell r="P142"/>
          <cell r="Q142"/>
        </row>
        <row r="143">
          <cell r="E143" t="str">
            <v>Hato Mayor</v>
          </cell>
          <cell r="F143" t="str">
            <v>Sabana de la Mar</v>
          </cell>
          <cell r="I143" t="str">
            <v>Jarabacoa</v>
          </cell>
          <cell r="J143" t="str">
            <v>Manabao</v>
          </cell>
          <cell r="P143"/>
          <cell r="Q143"/>
        </row>
        <row r="144">
          <cell r="E144" t="str">
            <v>Hato Mayor</v>
          </cell>
          <cell r="F144" t="str">
            <v>El Valle</v>
          </cell>
          <cell r="I144" t="str">
            <v>Jima Abajo</v>
          </cell>
          <cell r="J144" t="str">
            <v>Jima Abajo</v>
          </cell>
          <cell r="P144"/>
          <cell r="Q144"/>
        </row>
        <row r="145">
          <cell r="E145" t="str">
            <v>Monte Plata</v>
          </cell>
          <cell r="F145" t="str">
            <v>Monte Plata</v>
          </cell>
          <cell r="I145" t="str">
            <v>Jima Abajo</v>
          </cell>
          <cell r="J145" t="str">
            <v>Rincón</v>
          </cell>
          <cell r="P145"/>
          <cell r="Q145"/>
        </row>
        <row r="146">
          <cell r="E146" t="str">
            <v>Monte Plata</v>
          </cell>
          <cell r="F146" t="str">
            <v>Bayaguana</v>
          </cell>
          <cell r="I146" t="str">
            <v>La Vega</v>
          </cell>
          <cell r="J146" t="str">
            <v>El Ranchito</v>
          </cell>
          <cell r="P146"/>
          <cell r="Q146"/>
        </row>
        <row r="147">
          <cell r="E147" t="str">
            <v>Monte Plata</v>
          </cell>
          <cell r="F147" t="str">
            <v>Sabana Grande de Boyá</v>
          </cell>
          <cell r="I147" t="str">
            <v>La Vega</v>
          </cell>
          <cell r="J147" t="str">
            <v>La Vega</v>
          </cell>
          <cell r="P147"/>
          <cell r="Q147"/>
        </row>
        <row r="148">
          <cell r="E148" t="str">
            <v>Monte Plata</v>
          </cell>
          <cell r="F148" t="str">
            <v>Yamasá</v>
          </cell>
          <cell r="I148" t="str">
            <v>La Vega</v>
          </cell>
          <cell r="J148" t="str">
            <v>Río Verde Arriba</v>
          </cell>
          <cell r="P148"/>
          <cell r="Q148"/>
        </row>
        <row r="149">
          <cell r="E149" t="str">
            <v>Monte Plata</v>
          </cell>
          <cell r="F149" t="str">
            <v>Peralvillo</v>
          </cell>
          <cell r="I149" t="str">
            <v>Bonao</v>
          </cell>
          <cell r="J149" t="str">
            <v>Arroyo Toro Masipedro</v>
          </cell>
          <cell r="P149"/>
          <cell r="Q149"/>
        </row>
        <row r="150">
          <cell r="E150" t="str">
            <v>Distrito Nacional</v>
          </cell>
          <cell r="F150" t="str">
            <v>Distrito Nacional</v>
          </cell>
          <cell r="I150" t="str">
            <v>Bonao</v>
          </cell>
          <cell r="J150" t="str">
            <v>Bonao</v>
          </cell>
          <cell r="P150"/>
          <cell r="Q150"/>
        </row>
        <row r="151">
          <cell r="E151" t="str">
            <v>Santo Domingo</v>
          </cell>
          <cell r="F151" t="str">
            <v>Santo Domingo Este</v>
          </cell>
          <cell r="I151" t="str">
            <v>Bonao</v>
          </cell>
          <cell r="J151" t="str">
            <v>Jayaco</v>
          </cell>
          <cell r="P151"/>
          <cell r="Q151"/>
        </row>
        <row r="152">
          <cell r="E152" t="str">
            <v>Santo Domingo</v>
          </cell>
          <cell r="F152" t="str">
            <v>Santo Domingo Oeste</v>
          </cell>
          <cell r="I152" t="str">
            <v>Bonao</v>
          </cell>
          <cell r="J152" t="str">
            <v>Juma Bejucal</v>
          </cell>
          <cell r="P152"/>
          <cell r="Q152"/>
        </row>
        <row r="153">
          <cell r="E153" t="str">
            <v>Santo Domingo</v>
          </cell>
          <cell r="F153" t="str">
            <v>Santo Domingo Norte</v>
          </cell>
          <cell r="I153" t="str">
            <v>Bonao</v>
          </cell>
          <cell r="J153" t="str">
            <v>La Salvia- Los Quemados</v>
          </cell>
          <cell r="P153"/>
          <cell r="Q153"/>
        </row>
        <row r="154">
          <cell r="E154" t="str">
            <v>Santo Domingo</v>
          </cell>
          <cell r="F154" t="str">
            <v>Boca Chica</v>
          </cell>
          <cell r="I154" t="str">
            <v>Bonao</v>
          </cell>
          <cell r="J154" t="str">
            <v>Sabana del Puerto</v>
          </cell>
          <cell r="P154"/>
          <cell r="Q154"/>
        </row>
        <row r="155">
          <cell r="E155" t="str">
            <v>Santo Domingo</v>
          </cell>
          <cell r="F155" t="str">
            <v>Guerra</v>
          </cell>
          <cell r="I155" t="str">
            <v>Maimón</v>
          </cell>
          <cell r="J155" t="str">
            <v>Maimón</v>
          </cell>
          <cell r="P155"/>
          <cell r="Q155"/>
        </row>
        <row r="156">
          <cell r="E156" t="str">
            <v>Santo Domingo</v>
          </cell>
          <cell r="F156" t="str">
            <v>Los Alcarrizos</v>
          </cell>
          <cell r="I156" t="str">
            <v>Piedra Blanca</v>
          </cell>
          <cell r="J156" t="str">
            <v>Juan Adrián</v>
          </cell>
          <cell r="P156"/>
          <cell r="Q156"/>
        </row>
        <row r="157">
          <cell r="E157" t="str">
            <v>Santo Domingo</v>
          </cell>
          <cell r="F157" t="str">
            <v>Pedro Brand</v>
          </cell>
          <cell r="I157" t="str">
            <v>Piedra Blanca</v>
          </cell>
          <cell r="J157" t="str">
            <v>Piedra Blanca</v>
          </cell>
          <cell r="P157"/>
          <cell r="Q157"/>
        </row>
        <row r="158">
          <cell r="I158" t="str">
            <v>Piedra Blanca</v>
          </cell>
          <cell r="J158" t="str">
            <v>Villa de Sonador</v>
          </cell>
          <cell r="P158"/>
          <cell r="Q158"/>
        </row>
        <row r="159">
          <cell r="I159" t="str">
            <v>Cevicos</v>
          </cell>
          <cell r="J159" t="str">
            <v>Cevicos</v>
          </cell>
          <cell r="P159"/>
          <cell r="Q159"/>
        </row>
        <row r="160">
          <cell r="I160" t="str">
            <v>Cevicos</v>
          </cell>
          <cell r="J160" t="str">
            <v>La Cueva</v>
          </cell>
          <cell r="P160"/>
          <cell r="Q160"/>
        </row>
        <row r="161">
          <cell r="I161" t="str">
            <v>Cotuí</v>
          </cell>
          <cell r="J161" t="str">
            <v>Caballero</v>
          </cell>
          <cell r="P161"/>
          <cell r="Q161"/>
        </row>
        <row r="162">
          <cell r="I162" t="str">
            <v>Cotuí</v>
          </cell>
          <cell r="J162" t="str">
            <v>Comedero Arriba</v>
          </cell>
          <cell r="P162"/>
          <cell r="Q162"/>
        </row>
        <row r="163">
          <cell r="I163" t="str">
            <v>Cotuí</v>
          </cell>
          <cell r="J163" t="str">
            <v>Cotuí</v>
          </cell>
          <cell r="P163"/>
          <cell r="Q163"/>
        </row>
        <row r="164">
          <cell r="I164" t="str">
            <v>Cotuí</v>
          </cell>
          <cell r="J164" t="str">
            <v>Platanal</v>
          </cell>
          <cell r="P164"/>
          <cell r="Q164"/>
        </row>
        <row r="165">
          <cell r="I165" t="str">
            <v>Cotuí</v>
          </cell>
          <cell r="J165" t="str">
            <v>Quita Sueño</v>
          </cell>
          <cell r="P165"/>
          <cell r="Q165"/>
        </row>
        <row r="166">
          <cell r="I166" t="str">
            <v>Fantino</v>
          </cell>
          <cell r="J166" t="str">
            <v>Fantino</v>
          </cell>
          <cell r="P166"/>
          <cell r="Q166"/>
        </row>
        <row r="167">
          <cell r="I167" t="str">
            <v>La Mata</v>
          </cell>
          <cell r="J167" t="str">
            <v>Angelina</v>
          </cell>
          <cell r="P167"/>
          <cell r="Q167"/>
        </row>
        <row r="168">
          <cell r="I168" t="str">
            <v>La Mata</v>
          </cell>
          <cell r="J168" t="str">
            <v>Hernando Alonso</v>
          </cell>
          <cell r="P168"/>
          <cell r="Q168"/>
        </row>
        <row r="169">
          <cell r="I169" t="str">
            <v>La Mata</v>
          </cell>
          <cell r="J169" t="str">
            <v>La Bija</v>
          </cell>
          <cell r="P169"/>
          <cell r="Q169"/>
        </row>
        <row r="170">
          <cell r="I170" t="str">
            <v>La Mata</v>
          </cell>
          <cell r="J170" t="str">
            <v>La Mata</v>
          </cell>
          <cell r="P170"/>
          <cell r="Q170"/>
        </row>
        <row r="171">
          <cell r="I171" t="str">
            <v>Bánica</v>
          </cell>
          <cell r="J171" t="str">
            <v>Bánica</v>
          </cell>
          <cell r="P171"/>
          <cell r="Q171"/>
        </row>
        <row r="172">
          <cell r="I172" t="str">
            <v>Bánica</v>
          </cell>
          <cell r="J172" t="str">
            <v>Sabana Cruz</v>
          </cell>
          <cell r="P172"/>
          <cell r="Q172"/>
        </row>
        <row r="173">
          <cell r="I173" t="str">
            <v>Bánica</v>
          </cell>
          <cell r="J173" t="str">
            <v>Sabana Higüero</v>
          </cell>
          <cell r="P173"/>
          <cell r="Q173"/>
        </row>
        <row r="174">
          <cell r="I174" t="str">
            <v>Comendador</v>
          </cell>
          <cell r="J174" t="str">
            <v>Comendador</v>
          </cell>
          <cell r="P174"/>
          <cell r="Q174"/>
        </row>
        <row r="175">
          <cell r="I175" t="str">
            <v>Comendador</v>
          </cell>
          <cell r="J175" t="str">
            <v>Guayabo</v>
          </cell>
          <cell r="P175"/>
          <cell r="Q175"/>
        </row>
        <row r="176">
          <cell r="I176" t="str">
            <v>Comendador</v>
          </cell>
          <cell r="J176" t="str">
            <v>Sabana Larga</v>
          </cell>
          <cell r="P176"/>
          <cell r="Q176"/>
        </row>
        <row r="177">
          <cell r="I177" t="str">
            <v>El Llano</v>
          </cell>
          <cell r="J177" t="str">
            <v>El Llano</v>
          </cell>
          <cell r="P177"/>
          <cell r="Q177"/>
        </row>
        <row r="178">
          <cell r="I178" t="str">
            <v>El Llano</v>
          </cell>
          <cell r="J178" t="str">
            <v>Guanito</v>
          </cell>
          <cell r="P178"/>
          <cell r="Q178"/>
        </row>
        <row r="179">
          <cell r="I179" t="str">
            <v>Hondo Valle</v>
          </cell>
          <cell r="J179" t="str">
            <v>Hondo Valle</v>
          </cell>
          <cell r="P179"/>
          <cell r="Q179"/>
        </row>
        <row r="180">
          <cell r="I180" t="str">
            <v>Hondo Valle</v>
          </cell>
          <cell r="J180" t="str">
            <v>Rancho de la Guardia</v>
          </cell>
          <cell r="P180"/>
          <cell r="Q180"/>
        </row>
        <row r="181">
          <cell r="I181" t="str">
            <v>Juan Santiago</v>
          </cell>
          <cell r="J181" t="str">
            <v>Juan Santiago</v>
          </cell>
          <cell r="P181"/>
          <cell r="Q181"/>
        </row>
        <row r="182">
          <cell r="I182" t="str">
            <v>Pedro Santana</v>
          </cell>
          <cell r="J182" t="str">
            <v>Pedro Santana</v>
          </cell>
          <cell r="P182"/>
          <cell r="Q182"/>
        </row>
        <row r="183">
          <cell r="I183" t="str">
            <v>Pedro Santana</v>
          </cell>
          <cell r="J183" t="str">
            <v>Río Limpio</v>
          </cell>
          <cell r="P183"/>
          <cell r="Q183"/>
        </row>
        <row r="184">
          <cell r="I184" t="str">
            <v>Bohechio</v>
          </cell>
          <cell r="J184" t="str">
            <v>Arroyo Cano</v>
          </cell>
          <cell r="P184"/>
          <cell r="Q184"/>
        </row>
        <row r="185">
          <cell r="I185" t="str">
            <v>Bohechio</v>
          </cell>
          <cell r="J185" t="str">
            <v>Bohechio</v>
          </cell>
          <cell r="P185"/>
          <cell r="Q185"/>
        </row>
        <row r="186">
          <cell r="I186" t="str">
            <v>Bohechio</v>
          </cell>
          <cell r="J186" t="str">
            <v>El Yaque</v>
          </cell>
          <cell r="P186"/>
          <cell r="Q186"/>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Set>
  </externalBook>
</externalLink>
</file>

<file path=xl/tables/table1.xml><?xml version="1.0" encoding="utf-8"?>
<table xmlns="http://schemas.openxmlformats.org/spreadsheetml/2006/main" id="1" name="Table8" displayName="Table8" ref="A67:F69" totalsRowShown="0">
  <tableColumns count="6">
    <tableColumn id="1" name="CÓDIGO CATÁLOGO"/>
    <tableColumn id="2" name="ARTÍCULO" dataDxfId="4"/>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id="10" name="Table11" displayName="Table11" ref="A145:F161"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1" name="Table21" displayName="Table21" ref="A316:F318" totalsRowShown="0">
  <tableColumns count="6">
    <tableColumn id="1" name="CÓDIGO CATÁLOGO"/>
    <tableColumn id="2" name="ARTÍCULO">
      <calculatedColumnFormula>IFERROR(INDEX(UNSPSCDes,MATCH(INDIRECT(ADDRESS(ROW(),COLUMN()-1,4)),UNSPSCCode,0)),IF(INDIRECT(ADDRESS(ROW(),COLUMN()-1,4))="53102710","Uniformes corporativos",""))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2" name="Table4" displayName="Table4" ref="A22:F23" totalsRowShown="0">
  <tableColumns count="6">
    <tableColumn id="1" name="CÓDIGO CATÁLOGO"/>
    <tableColumn id="2" name="ARTÍCULO" dataDxfId="2">
      <calculatedColumnFormula>IFERROR(INDEX(UNSPSCDes,MATCH(INDIRECT(ADDRESS(ROW(),COLUMN()-1,4)),UNSPSCCode,0)),IF(INDIRECT(ADDRESS(ROW(),COLUMN()-1,4))="72102103","Servicios de exterminación o fumigación",""))</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3" name="Table7" displayName="Table7" ref="A56:F57" totalsRowShown="0">
  <tableColumns count="6">
    <tableColumn id="1" name="CÓDIGO CATÁLOGO"/>
    <tableColumn id="2" name="ARTÍCULO" dataDxfId="1">
      <calculatedColumnFormula>IFERROR(INDEX(UNSPSCDes,MATCH(INDIRECT(ADDRESS(ROW(),COLUMN()-1,4)),UNSPSCCode,0)),IF(INDIRECT(ADDRESS(ROW(),COLUMN()-1,4))="44101501","Fotocopiadoras",""))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4" name="Table24" displayName="Table24" ref="A353:F354" totalsRowShown="0">
  <tableColumns count="6">
    <tableColumn id="1" name="CÓDIGO CATÁLOGO"/>
    <tableColumn id="2" name="ARTÍCULO">
      <calculatedColumnFormula>IFERROR(INDEX(UNSPSCDes,MATCH(INDIRECT(ADDRESS(ROW(),COLUMN()-1,4)),UNSPSCCode,0)),IF(INDIRECT(ADDRESS(ROW(),COLUMN()-1,4))="90101601","Instalaciones para banquetes",""))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15" name="Table13" displayName="Table13" ref="A212:F214" totalsRowShown="0">
  <tableColumns count="6">
    <tableColumn id="1" name="CÓDIGO CATÁLOGO"/>
    <tableColumn id="2" name="ARTÍCULO">
      <calculatedColumnFormula>IFERROR(INDEX(UNSPSCDes,MATCH(INDIRECT(ADDRESS(ROW(),COLUMN()-1,4)),UNSPSCCode,0)),IF(INDIRECT(ADDRESS(ROW(),COLUMN()-1,4))="50202301","Agua",""))</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6" name="Table14" displayName="Table14" ref="A224:F227"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17" name="Table12" displayName="Table12" ref="A171:F202"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18" name="Table19" displayName="Table19" ref="A292:F293" totalsRowShown="0">
  <tableColumns count="6">
    <tableColumn id="1" name="CÓDIGO CATÁLOGO"/>
    <tableColumn id="2" name="ARTÍCULO">
      <calculatedColumnFormula>IFERROR(INDEX(UNSPSCDes,MATCH(INDIRECT(ADDRESS(ROW(),COLUMN()-1,4)),UNSPSCCode,0)),IF(INDIRECT(ADDRESS(ROW(),COLUMN()-1,4))="14111608","Certificados de regalo",""))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19" name="Table16" displayName="Table16" ref="A250:F258"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2" name="Table26" displayName="Table26" ref="A375:F376"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0" name="Table22" displayName="Table22" ref="A328:F330" totalsRowShown="0">
  <tableColumns count="6">
    <tableColumn id="1" name="CÓDIGO CATÁLOGO"/>
    <tableColumn id="2" name="ARTÍCULO">
      <calculatedColumnFormula>IFERROR(INDEX(UNSPSCDes,MATCH(INDIRECT(ADDRESS(ROW(),COLUMN()-1,4)),UNSPSCCode,0)),IF(INDIRECT(ADDRESS(ROW(),COLUMN()-1,4))="90101601","Instalaciones para banquetes",""))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21" name="Table25" displayName="Table25" ref="A364:F365" totalsRowShown="0">
  <tableColumns count="6">
    <tableColumn id="1" name="CÓDIGO CATÁLOGO"/>
    <tableColumn id="2" name="ARTÍCULO">
      <calculatedColumnFormula>IFERROR(INDEX(UNSPSCDes,MATCH(INDIRECT(ADDRESS(ROW(),COLUMN()-1,4)),UNSPSCCode,0)),IF(INDIRECT(ADDRESS(ROW(),COLUMN()-1,4))="90101601","Instalaciones para banquetes",""))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22" name="Table32" displayName="Table32" ref="A453:F454" totalsRowShown="0">
  <tableColumns count="6">
    <tableColumn id="1" name="CÓDIGO CATÁLOGO"/>
    <tableColumn id="2" name="ARTÍCULO">
      <calculatedColumnFormula>IFERROR(INDEX(UNSPSCDes,MATCH(INDIRECT(ADDRESS(ROW(),COLUMN()-1,4)),UNSPSCCode,0)),IF(INDIRECT(ADDRESS(ROW(),COLUMN()-1,4))="25173107","Sistemas de posicionamiento global de vehículos",""))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23" name="Table20" displayName="Table20" ref="A303:F306"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24" name="Table34" displayName="Table34" ref="A477:F478" totalsRowShown="0">
  <tableColumns count="6">
    <tableColumn id="1" name="CÓDIGO CATÁLOGO"/>
    <tableColumn id="2" name="ARTÍCULO">
      <calculatedColumnFormula>IFERROR(INDEX(UNSPSCDes,MATCH(INDIRECT(ADDRESS(ROW(),COLUMN()-1,4)),UNSPSCCode,0)),IF(INDIRECT(ADDRESS(ROW(),COLUMN()-1,4))="43231512","Software de manejo de licencias",""))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25" name="Table31" displayName="Table31" ref="A442:F443" totalsRowShown="0">
  <tableColumns count="6">
    <tableColumn id="1" name="CÓDIGO CATÁLOGO"/>
    <tableColumn id="2" name="ARTÍCULO">
      <calculatedColumnFormula>IFERROR(INDEX(UNSPSCDes,MATCH(INDIRECT(ADDRESS(ROW(),COLUMN()-1,4)),UNSPSCCode,0)),IF(INDIRECT(ADDRESS(ROW(),COLUMN()-1,4))="84141602","Proveedores de servicios de tarjetas de crédito",""))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26" name="Table15" displayName="Table15" ref="A237:F240"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27" name="Table28" displayName="Table28" ref="A397:F399" totalsRowShown="0">
  <tableColumns count="6">
    <tableColumn id="1" name="CÓDIGO CATÁLOGO"/>
    <tableColumn id="2" name="ARTÍCULO">
      <calculatedColumnFormula>IFERROR(INDEX(UNSPSCDes,MATCH(INDIRECT(ADDRESS(ROW(),COLUMN()-1,4)),UNSPSCCode,0)),IF(INDIRECT(ADDRESS(ROW(),COLUMN()-1,4))="80121704","Servicios legales sobre contratos",""))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28" name="Table5" displayName="Table5" ref="A33:F35" totalsRowShown="0">
  <tableColumns count="6">
    <tableColumn id="1" name="CÓDIGO CATÁLOGO"/>
    <tableColumn id="2" name="ARTÍCULO" dataDxfId="0">
      <calculatedColumnFormula>IFERROR(INDEX(UNSPSCDes,MATCH(INDIRECT(ADDRESS(ROW(),COLUMN()-1,4)),UNSPSCCode,0)),IF(INDIRECT(ADDRESS(ROW(),COLUMN()-1,4))="90101802","Servicios de comidas a domicilio",""))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29" name="Table18" displayName="Table18" ref="A281:F282" totalsRowShown="0">
  <tableColumns count="6">
    <tableColumn id="1" name="CÓDIGO CATÁLOGO"/>
    <tableColumn id="2" name="ARTÍCULO">
      <calculatedColumnFormula>IFERROR(INDEX(UNSPSCDes,MATCH(INDIRECT(ADDRESS(ROW(),COLUMN()-1,4)),UNSPSCCode,0)),IF(INDIRECT(ADDRESS(ROW(),COLUMN()-1,4))="14111608","Certificados de regalo",""))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3" name="Table27" displayName="Table27" ref="A386:F387" totalsRowShown="0">
  <tableColumns count="6">
    <tableColumn id="1" name="CÓDIGO CATÁLOGO"/>
    <tableColumn id="2" name="ARTÍCULO">
      <calculatedColumnFormula>IFERROR(INDEX(UNSPSCDes,MATCH(INDIRECT(ADDRESS(ROW(),COLUMN()-1,4)),UNSPSCCode,0)),IF(INDIRECT(ADDRESS(ROW(),COLUMN()-1,4))="82101504","Publicidad en periódicos",""))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30" name="Table33" displayName="Table33" ref="A464:F467"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31" name="Table23" displayName="Table23" ref="A340:F343" totalsRowShown="0">
  <tableColumns count="6">
    <tableColumn id="1" name="CÓDIGO CATÁLOGO"/>
    <tableColumn id="2" name="ARTÍCULO">
      <calculatedColumnFormula>IFERROR(INDEX(UNSPSCDes,MATCH(INDIRECT(ADDRESS(ROW(),COLUMN()-1,4)),UNSPSCCode,0)),IF(INDIRECT(ADDRESS(ROW(),COLUMN()-1,4))="90101601","Instalaciones para banquetes",""))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4" name="Table6" displayName="Table6" ref="A45:F46" totalsRowShown="0">
  <tableColumns count="6">
    <tableColumn id="1" name="CÓDIGO CATÁLOGO"/>
    <tableColumn id="2" name="ARTÍCULO" dataDxfId="3">
      <calculatedColumnFormula>IFERROR(INDEX(UNSPSCDes,MATCH(INDIRECT(ADDRESS(ROW(),COLUMN()-1,4)),UNSPSCCode,0)),IF(INDIRECT(ADDRESS(ROW(),COLUMN()-1,4))="15101701","Fuel oil de calefacción # 2",""))</calculatedColumnFormula>
    </tableColumn>
    <tableColumn id="3" name="UNIDAD DE MEDIDA">
      <calculatedColumnFormula>IFERROR(VLOOKUP("GAL",'[1]Informacion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5" name="Table17" displayName="Table17" ref="A268:F271" totalsRowShown="0">
  <tableColumns count="6">
    <tableColumn id="1" name="CÓDIGO CATÁLOGO"/>
    <tableColumn id="2" name="ARTÍCULO">
      <calculatedColumnFormula>IFERROR(INDEX(UNSPSCDes,MATCH(INDIRECT(ADDRESS(ROW(),COLUMN()-1,4)),UNSPSCCode,0)),IF(INDIRECT(ADDRESS(ROW(),COLUMN()-1,4))="14111608","Certificados de regalo",""))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6" name="Table10" displayName="Table10" ref="A90:F135"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7" name="Table29" displayName="Table29" ref="A409:F412" totalsRowShown="0">
  <tableColumns count="6">
    <tableColumn id="1" name="CÓDIGO CATÁLOGO"/>
    <tableColumn id="2" name="ARTÍCULO">
      <calculatedColumnFormula>IFERROR(INDEX(UNSPSCDes,MATCH(INDIRECT(ADDRESS(ROW(),COLUMN()-1,4)),UNSPSCCode,0)),IF(INDIRECT(ADDRESS(ROW(),COLUMN()-1,4))="43231512","Software de manejo de licencias",""))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8" name="Table30" displayName="Table30" ref="A422:F432" totalsRowShown="0">
  <tableColumns count="6">
    <tableColumn id="1" name="CÓDIGO CATÁLOGO"/>
    <tableColumn id="2" name="ARTÍCULO">
      <calculatedColumnFormula>IFERROR(INDEX(UNSPSCDes,MATCH(INDIRECT(ADDRESS(ROW(),COLUMN()-1,4)),UNSPSCCode,0)),IF(INDIRECT(ADDRESS(ROW(),COLUMN()-1,4))="82121507","Impresión de papelería o formularios comerciales",""))</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9" name="Table9" displayName="Table9" ref="A79:F80" totalsRowShown="0">
  <tableColumns count="6">
    <tableColumn id="1" name="CÓDIGO CATÁLOGO"/>
    <tableColumn id="2" name="ARTÍCULO">
      <calculatedColumnFormula>IFERROR(INDEX(UNSPSCDes,MATCH(INDIRECT(ADDRESS(ROW(),COLUMN()-1,4)),UNSPSCCode,0)),IF(INDIRECT(ADDRESS(ROW(),COLUMN()-1,4))="72101517","Servicio de mantenimiento o reparación de generadores portátiles",""))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0.xml"/><Relationship Id="rId18" Type="http://schemas.openxmlformats.org/officeDocument/2006/relationships/table" Target="../tables/table15.xml"/><Relationship Id="rId26" Type="http://schemas.openxmlformats.org/officeDocument/2006/relationships/table" Target="../tables/table23.xml"/><Relationship Id="rId3" Type="http://schemas.openxmlformats.org/officeDocument/2006/relationships/vmlDrawing" Target="../drawings/vmlDrawing1.vml"/><Relationship Id="rId21" Type="http://schemas.openxmlformats.org/officeDocument/2006/relationships/table" Target="../tables/table18.xml"/><Relationship Id="rId34" Type="http://schemas.openxmlformats.org/officeDocument/2006/relationships/table" Target="../tables/table31.xml"/><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2" Type="http://schemas.openxmlformats.org/officeDocument/2006/relationships/drawing" Target="../drawings/drawing1.xml"/><Relationship Id="rId16" Type="http://schemas.openxmlformats.org/officeDocument/2006/relationships/table" Target="../tables/table13.xml"/><Relationship Id="rId20" Type="http://schemas.openxmlformats.org/officeDocument/2006/relationships/table" Target="../tables/table17.xml"/><Relationship Id="rId29" Type="http://schemas.openxmlformats.org/officeDocument/2006/relationships/table" Target="../tables/table26.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5" Type="http://schemas.openxmlformats.org/officeDocument/2006/relationships/table" Target="../tables/table2.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10" Type="http://schemas.openxmlformats.org/officeDocument/2006/relationships/table" Target="../tables/table7.xml"/><Relationship Id="rId19" Type="http://schemas.openxmlformats.org/officeDocument/2006/relationships/table" Target="../tables/table16.xml"/><Relationship Id="rId31" Type="http://schemas.openxmlformats.org/officeDocument/2006/relationships/table" Target="../tables/table28.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comments" Target="../comments1.xml"/><Relationship Id="rId8"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79"/>
  <sheetViews>
    <sheetView tabSelected="1" view="pageBreakPreview" topLeftCell="B377" zoomScaleNormal="100" zoomScaleSheetLayoutView="100" workbookViewId="0">
      <selection activeCell="I12" sqref="I12"/>
    </sheetView>
  </sheetViews>
  <sheetFormatPr baseColWidth="10" defaultRowHeight="15" x14ac:dyDescent="0.25"/>
  <cols>
    <col min="1" max="1" width="21.28515625" customWidth="1"/>
    <col min="2" max="2" width="32.42578125" customWidth="1"/>
    <col min="3" max="3" width="15.28515625" customWidth="1"/>
    <col min="4" max="4" width="34.42578125" customWidth="1"/>
    <col min="5" max="5" width="32" customWidth="1"/>
    <col min="6" max="6" width="32.140625" customWidth="1"/>
    <col min="7" max="7" width="26.42578125" customWidth="1"/>
  </cols>
  <sheetData>
    <row r="1" spans="1:7" ht="18.75" thickTop="1" x14ac:dyDescent="0.25">
      <c r="A1" s="51"/>
      <c r="B1" s="1"/>
      <c r="C1" s="2"/>
      <c r="D1" s="2"/>
      <c r="E1" s="3"/>
      <c r="F1" s="1"/>
      <c r="G1" s="1"/>
    </row>
    <row r="2" spans="1:7" ht="18" x14ac:dyDescent="0.25">
      <c r="A2" s="51"/>
      <c r="B2" s="52" t="s">
        <v>0</v>
      </c>
      <c r="C2" s="52"/>
      <c r="D2" s="52"/>
      <c r="E2" s="52"/>
      <c r="F2" s="4"/>
      <c r="G2" s="1"/>
    </row>
    <row r="3" spans="1:7" ht="18" x14ac:dyDescent="0.25">
      <c r="A3" s="51"/>
      <c r="B3" s="53" t="str">
        <f>"AÑO "&amp;E11</f>
        <v>AÑO 2022</v>
      </c>
      <c r="C3" s="53"/>
      <c r="D3" s="53"/>
      <c r="E3" s="53"/>
      <c r="F3" s="5"/>
      <c r="G3" s="1"/>
    </row>
    <row r="4" spans="1:7" ht="18" x14ac:dyDescent="0.25">
      <c r="A4" s="51"/>
      <c r="B4" s="1"/>
      <c r="C4" s="1"/>
      <c r="D4" s="1"/>
      <c r="E4" s="6"/>
      <c r="F4" s="1"/>
      <c r="G4" s="1"/>
    </row>
    <row r="5" spans="1:7" ht="21" thickBot="1" x14ac:dyDescent="0.3">
      <c r="A5" s="7"/>
      <c r="B5" s="7"/>
      <c r="C5" s="8"/>
      <c r="D5" s="8"/>
      <c r="E5" s="8"/>
      <c r="F5" s="8"/>
      <c r="G5" s="9"/>
    </row>
    <row r="6" spans="1:7" ht="15.75" thickBot="1" x14ac:dyDescent="0.3">
      <c r="A6" s="10" t="s">
        <v>1</v>
      </c>
      <c r="B6" s="11"/>
      <c r="C6" s="12"/>
      <c r="D6" s="13" t="s">
        <v>2</v>
      </c>
      <c r="E6" s="45" t="s">
        <v>3</v>
      </c>
      <c r="F6" s="46"/>
      <c r="G6" s="14"/>
    </row>
    <row r="7" spans="1:7" ht="15.75" thickBot="1" x14ac:dyDescent="0.3">
      <c r="A7" s="15" t="s">
        <v>4</v>
      </c>
      <c r="B7" s="11"/>
      <c r="C7" s="11"/>
      <c r="D7" s="13" t="s">
        <v>5</v>
      </c>
      <c r="E7" s="45" t="s">
        <v>6</v>
      </c>
      <c r="F7" s="46"/>
      <c r="G7" s="14"/>
    </row>
    <row r="8" spans="1:7" ht="15.75" thickBot="1" x14ac:dyDescent="0.3">
      <c r="A8" s="11"/>
      <c r="B8" s="11"/>
      <c r="C8" s="11"/>
      <c r="D8" s="13" t="s">
        <v>7</v>
      </c>
      <c r="E8" s="45" t="s">
        <v>8</v>
      </c>
      <c r="F8" s="46"/>
      <c r="G8" s="14"/>
    </row>
    <row r="9" spans="1:7" ht="15.75" thickBot="1" x14ac:dyDescent="0.3">
      <c r="A9" s="16" t="s">
        <v>9</v>
      </c>
      <c r="B9" s="17">
        <f ca="1">COUNTIFS(TotalEstColumnName,"="&amp;TotalEstLabel,TotalEstColumnValue,"&gt;0")</f>
        <v>31</v>
      </c>
      <c r="C9" s="11"/>
      <c r="D9" s="13" t="s">
        <v>10</v>
      </c>
      <c r="E9" s="45" t="s">
        <v>11</v>
      </c>
      <c r="F9" s="46"/>
      <c r="G9" s="14"/>
    </row>
    <row r="10" spans="1:7" ht="15.75" thickBot="1" x14ac:dyDescent="0.3">
      <c r="A10" s="18" t="s">
        <v>12</v>
      </c>
      <c r="B10" s="19">
        <f ca="1">SUMIF(TotalEstColumnName,"="&amp;TotalEstLabel,TotalEstColumnValue)</f>
        <v>28084505</v>
      </c>
      <c r="C10" s="11"/>
      <c r="D10" s="13" t="s">
        <v>13</v>
      </c>
      <c r="E10" s="45" t="s">
        <v>14</v>
      </c>
      <c r="F10" s="46"/>
      <c r="G10" s="14"/>
    </row>
    <row r="11" spans="1:7" ht="15.75" thickBot="1" x14ac:dyDescent="0.3">
      <c r="A11" s="9"/>
      <c r="B11" s="9"/>
      <c r="C11" s="11"/>
      <c r="D11" s="13" t="s">
        <v>15</v>
      </c>
      <c r="E11" s="47" t="s">
        <v>16</v>
      </c>
      <c r="F11" s="48"/>
      <c r="G11" s="14"/>
    </row>
    <row r="12" spans="1:7" ht="15.75" thickBot="1" x14ac:dyDescent="0.3">
      <c r="A12" s="20"/>
      <c r="B12" s="20"/>
      <c r="C12" s="20"/>
      <c r="D12" s="13" t="s">
        <v>17</v>
      </c>
      <c r="E12" s="49" t="s">
        <v>18</v>
      </c>
      <c r="F12" s="50"/>
      <c r="G12" s="14"/>
    </row>
    <row r="13" spans="1:7" ht="16.5" x14ac:dyDescent="0.25">
      <c r="A13" s="21"/>
      <c r="B13" s="37"/>
      <c r="C13" s="21"/>
      <c r="D13" s="21"/>
      <c r="E13" s="21"/>
      <c r="F13" s="21"/>
      <c r="G13" s="21"/>
    </row>
    <row r="14" spans="1:7" ht="17.25" thickBot="1" x14ac:dyDescent="0.3">
      <c r="A14" s="21"/>
      <c r="B14" s="37"/>
      <c r="C14" s="21"/>
      <c r="D14" s="21"/>
      <c r="E14" s="21"/>
      <c r="F14" s="21"/>
      <c r="G14" s="21"/>
    </row>
    <row r="15" spans="1:7" ht="23.25" thickBot="1" x14ac:dyDescent="0.3">
      <c r="A15" s="22" t="s">
        <v>19</v>
      </c>
      <c r="B15" s="38" t="s">
        <v>20</v>
      </c>
      <c r="C15" s="22" t="s">
        <v>21</v>
      </c>
      <c r="D15" s="22" t="s">
        <v>22</v>
      </c>
      <c r="E15" s="22" t="s">
        <v>23</v>
      </c>
      <c r="F15" s="22" t="s">
        <v>24</v>
      </c>
      <c r="G15" s="21"/>
    </row>
    <row r="16" spans="1:7" ht="23.25" thickBot="1" x14ac:dyDescent="0.3">
      <c r="A16" s="23" t="s">
        <v>25</v>
      </c>
      <c r="B16" s="39" t="s">
        <v>26</v>
      </c>
      <c r="C16" s="23" t="s">
        <v>27</v>
      </c>
      <c r="D16" s="23" t="s">
        <v>28</v>
      </c>
      <c r="E16" s="23" t="s">
        <v>29</v>
      </c>
      <c r="F16" s="23"/>
      <c r="G16" s="21"/>
    </row>
    <row r="17" spans="1:7" ht="17.25" thickBot="1" x14ac:dyDescent="0.3">
      <c r="A17" s="43" t="s">
        <v>30</v>
      </c>
      <c r="B17" s="40" t="s">
        <v>31</v>
      </c>
      <c r="C17" s="25">
        <v>44655</v>
      </c>
      <c r="D17" s="43" t="s">
        <v>32</v>
      </c>
      <c r="E17" s="26" t="s">
        <v>33</v>
      </c>
      <c r="F17" s="27" t="s">
        <v>34</v>
      </c>
      <c r="G17" s="21"/>
    </row>
    <row r="18" spans="1:7" ht="17.25" thickBot="1" x14ac:dyDescent="0.3">
      <c r="A18" s="44"/>
      <c r="B18" s="40" t="s">
        <v>35</v>
      </c>
      <c r="C18" s="28">
        <f>IF(C17="","",IF(AND(MONTH(C17)&gt;=1,MONTH(C17)&lt;=3),1,IF(AND(MONTH(C17)&gt;=4,MONTH(C17)&lt;=6),2,IF(AND(MONTH(C17)&gt;=7,MONTH(C17)&lt;=9),3,4))))</f>
        <v>2</v>
      </c>
      <c r="D18" s="44"/>
      <c r="E18" s="26" t="s">
        <v>36</v>
      </c>
      <c r="F18" s="27" t="s">
        <v>37</v>
      </c>
      <c r="G18" s="21"/>
    </row>
    <row r="19" spans="1:7" ht="17.25" thickBot="1" x14ac:dyDescent="0.3">
      <c r="A19" s="44"/>
      <c r="B19" s="40" t="s">
        <v>38</v>
      </c>
      <c r="C19" s="25">
        <v>44663</v>
      </c>
      <c r="D19" s="44"/>
      <c r="E19" s="26" t="s">
        <v>39</v>
      </c>
      <c r="F19" s="27"/>
      <c r="G19" s="21"/>
    </row>
    <row r="20" spans="1:7" ht="17.25" thickBot="1" x14ac:dyDescent="0.3">
      <c r="A20" s="44"/>
      <c r="B20" s="40" t="s">
        <v>35</v>
      </c>
      <c r="C20" s="28">
        <f>IF(C19="","",IF(AND(MONTH(C19)&gt;=1,MONTH(C19)&lt;=3),1,IF(AND(MONTH(C19)&gt;=4,MONTH(C19)&lt;=6),2,IF(AND(MONTH(C19)&gt;=7,MONTH(C19)&lt;=9),3,4))))</f>
        <v>2</v>
      </c>
      <c r="D20" s="44"/>
      <c r="E20" s="26" t="s">
        <v>40</v>
      </c>
      <c r="F20" s="27"/>
      <c r="G20" s="21"/>
    </row>
    <row r="21" spans="1:7" ht="17.25" thickBot="1" x14ac:dyDescent="0.3">
      <c r="A21" s="21"/>
      <c r="B21" s="37"/>
      <c r="C21" s="21"/>
      <c r="D21" s="21"/>
      <c r="E21" s="21"/>
      <c r="F21" s="21"/>
      <c r="G21" s="21"/>
    </row>
    <row r="22" spans="1:7" ht="17.25" thickBot="1" x14ac:dyDescent="0.3">
      <c r="A22" s="29" t="s">
        <v>41</v>
      </c>
      <c r="B22" s="41" t="s">
        <v>42</v>
      </c>
      <c r="C22" s="29" t="s">
        <v>43</v>
      </c>
      <c r="D22" s="29" t="s">
        <v>44</v>
      </c>
      <c r="E22" s="29" t="s">
        <v>45</v>
      </c>
      <c r="F22" s="29" t="s">
        <v>46</v>
      </c>
      <c r="G22" s="21"/>
    </row>
    <row r="23" spans="1:7" ht="16.5" x14ac:dyDescent="0.25">
      <c r="A23" s="30" t="s">
        <v>47</v>
      </c>
      <c r="B23" s="42" t="str">
        <f ca="1">IFERROR(INDEX(UNSPSCDes,MATCH(INDIRECT(ADDRESS(ROW(),COLUMN()-1,4)),UNSPSCCode,0)),IF(INDIRECT(ADDRESS(ROW(),COLUMN()-1,4))="72102103","Servicios de exterminación o fumigación",""))</f>
        <v>Servicios de exterminación o fumigación</v>
      </c>
      <c r="C23" s="32" t="str">
        <f>IFERROR(VLOOKUP("UD",'[1]Informacion '!P:Q,2,FALSE),"")</f>
        <v>Unidad</v>
      </c>
      <c r="D23" s="30">
        <v>90</v>
      </c>
      <c r="E23" s="33">
        <v>5000</v>
      </c>
      <c r="F23" s="34">
        <f ca="1">INDIRECT(ADDRESS(ROW(),COLUMN()-2,4))*INDIRECT(ADDRESS(ROW(),COLUMN()-1,4))</f>
        <v>450000</v>
      </c>
      <c r="G23" s="21"/>
    </row>
    <row r="24" spans="1:7" ht="16.5" x14ac:dyDescent="0.25">
      <c r="A24" s="21"/>
      <c r="B24" s="37"/>
      <c r="C24" s="21"/>
      <c r="D24" s="21"/>
      <c r="E24" s="35" t="s">
        <v>48</v>
      </c>
      <c r="F24" s="36">
        <f ca="1">SUM(Table4[MONTO TOTAL ESTIMADO])</f>
        <v>450000</v>
      </c>
      <c r="G24" s="21"/>
    </row>
    <row r="25" spans="1:7" ht="17.25" thickBot="1" x14ac:dyDescent="0.3">
      <c r="A25" s="21"/>
      <c r="B25" s="37"/>
      <c r="C25" s="21"/>
      <c r="D25" s="21"/>
      <c r="E25" s="21"/>
      <c r="F25" s="21"/>
      <c r="G25" s="21"/>
    </row>
    <row r="26" spans="1:7" ht="23.25" thickBot="1" x14ac:dyDescent="0.3">
      <c r="A26" s="22" t="s">
        <v>19</v>
      </c>
      <c r="B26" s="38" t="s">
        <v>20</v>
      </c>
      <c r="C26" s="22" t="s">
        <v>21</v>
      </c>
      <c r="D26" s="22" t="s">
        <v>22</v>
      </c>
      <c r="E26" s="22" t="s">
        <v>23</v>
      </c>
      <c r="F26" s="22" t="s">
        <v>24</v>
      </c>
      <c r="G26" s="21"/>
    </row>
    <row r="27" spans="1:7" ht="23.25" thickBot="1" x14ac:dyDescent="0.3">
      <c r="A27" s="23" t="s">
        <v>49</v>
      </c>
      <c r="B27" s="39" t="s">
        <v>50</v>
      </c>
      <c r="C27" s="23" t="s">
        <v>27</v>
      </c>
      <c r="D27" s="23" t="s">
        <v>28</v>
      </c>
      <c r="E27" s="23" t="s">
        <v>29</v>
      </c>
      <c r="F27" s="23"/>
      <c r="G27" s="21"/>
    </row>
    <row r="28" spans="1:7" ht="17.25" thickBot="1" x14ac:dyDescent="0.3">
      <c r="A28" s="43" t="s">
        <v>30</v>
      </c>
      <c r="B28" s="40" t="s">
        <v>31</v>
      </c>
      <c r="C28" s="25">
        <v>44656</v>
      </c>
      <c r="D28" s="43" t="s">
        <v>32</v>
      </c>
      <c r="E28" s="26" t="s">
        <v>33</v>
      </c>
      <c r="F28" s="27" t="s">
        <v>34</v>
      </c>
      <c r="G28" s="21"/>
    </row>
    <row r="29" spans="1:7" ht="17.25" thickBot="1" x14ac:dyDescent="0.3">
      <c r="A29" s="44"/>
      <c r="B29" s="40" t="s">
        <v>35</v>
      </c>
      <c r="C29" s="28">
        <f>IF(C28="","",IF(AND(MONTH(C28)&gt;=1,MONTH(C28)&lt;=3),1,IF(AND(MONTH(C28)&gt;=4,MONTH(C28)&lt;=6),2,IF(AND(MONTH(C28)&gt;=7,MONTH(C28)&lt;=9),3,4))))</f>
        <v>2</v>
      </c>
      <c r="D29" s="44"/>
      <c r="E29" s="26" t="s">
        <v>36</v>
      </c>
      <c r="F29" s="27" t="s">
        <v>37</v>
      </c>
      <c r="G29" s="21"/>
    </row>
    <row r="30" spans="1:7" ht="17.25" thickBot="1" x14ac:dyDescent="0.3">
      <c r="A30" s="44"/>
      <c r="B30" s="40" t="s">
        <v>38</v>
      </c>
      <c r="C30" s="25">
        <v>44664</v>
      </c>
      <c r="D30" s="44"/>
      <c r="E30" s="26" t="s">
        <v>39</v>
      </c>
      <c r="F30" s="27"/>
      <c r="G30" s="21"/>
    </row>
    <row r="31" spans="1:7" ht="17.25" thickBot="1" x14ac:dyDescent="0.3">
      <c r="A31" s="44"/>
      <c r="B31" s="40" t="s">
        <v>35</v>
      </c>
      <c r="C31" s="28">
        <f>IF(C30="","",IF(AND(MONTH(C30)&gt;=1,MONTH(C30)&lt;=3),1,IF(AND(MONTH(C30)&gt;=4,MONTH(C30)&lt;=6),2,IF(AND(MONTH(C30)&gt;=7,MONTH(C30)&lt;=9),3,4))))</f>
        <v>2</v>
      </c>
      <c r="D31" s="44"/>
      <c r="E31" s="26" t="s">
        <v>40</v>
      </c>
      <c r="F31" s="27"/>
      <c r="G31" s="21"/>
    </row>
    <row r="32" spans="1:7" ht="17.25" thickBot="1" x14ac:dyDescent="0.3">
      <c r="A32" s="21"/>
      <c r="B32" s="37"/>
      <c r="C32" s="21"/>
      <c r="D32" s="21"/>
      <c r="E32" s="21"/>
      <c r="F32" s="21"/>
      <c r="G32" s="21"/>
    </row>
    <row r="33" spans="1:7" ht="17.25" thickBot="1" x14ac:dyDescent="0.3">
      <c r="A33" s="29" t="s">
        <v>41</v>
      </c>
      <c r="B33" s="41" t="s">
        <v>42</v>
      </c>
      <c r="C33" s="29" t="s">
        <v>43</v>
      </c>
      <c r="D33" s="29" t="s">
        <v>44</v>
      </c>
      <c r="E33" s="29" t="s">
        <v>45</v>
      </c>
      <c r="F33" s="29" t="s">
        <v>46</v>
      </c>
      <c r="G33" s="21"/>
    </row>
    <row r="34" spans="1:7" ht="16.5" x14ac:dyDescent="0.25">
      <c r="A34" s="30" t="s">
        <v>51</v>
      </c>
      <c r="B34" s="42" t="str">
        <f ca="1">IFERROR(INDEX(UNSPSCDes,MATCH(INDIRECT(ADDRESS(ROW(),COLUMN()-1,4)),UNSPSCCode,0)),IF(INDIRECT(ADDRESS(ROW(),COLUMN()-1,4))="90101802","Servicios de comidas a domicilio",""))</f>
        <v>Servicios de comidas a domicilio</v>
      </c>
      <c r="C34" s="32" t="str">
        <f>IFERROR(VLOOKUP("UD",'[1]Informacion '!P:Q,2,FALSE),"")</f>
        <v>Unidad</v>
      </c>
      <c r="D34" s="30">
        <v>360</v>
      </c>
      <c r="E34" s="33">
        <v>280</v>
      </c>
      <c r="F34" s="34">
        <f ca="1">INDIRECT(ADDRESS(ROW(),COLUMN()-2,4))*INDIRECT(ADDRESS(ROW(),COLUMN()-1,4))</f>
        <v>100800</v>
      </c>
      <c r="G34" s="21"/>
    </row>
    <row r="35" spans="1:7" ht="16.5" x14ac:dyDescent="0.25">
      <c r="A35" s="30" t="s">
        <v>51</v>
      </c>
      <c r="B35" s="42" t="str">
        <f ca="1">IFERROR(INDEX(UNSPSCDes,MATCH(INDIRECT(ADDRESS(ROW(),COLUMN()-1,4)),UNSPSCCode,0)),IF(INDIRECT(ADDRESS(ROW(),COLUMN()-1,4))="90101802","Servicios de comidas a domicilio",""))</f>
        <v>Servicios de comidas a domicilio</v>
      </c>
      <c r="C35" s="32" t="str">
        <f>IFERROR(VLOOKUP("UD",'[1]Informacion '!P:Q,2,FALSE),"")</f>
        <v>Unidad</v>
      </c>
      <c r="D35" s="30">
        <v>180</v>
      </c>
      <c r="E35" s="33">
        <v>200</v>
      </c>
      <c r="F35" s="34">
        <f ca="1">INDIRECT(ADDRESS(ROW(),COLUMN()-2,4))*INDIRECT(ADDRESS(ROW(),COLUMN()-1,4))</f>
        <v>36000</v>
      </c>
      <c r="G35" s="21"/>
    </row>
    <row r="36" spans="1:7" ht="16.5" x14ac:dyDescent="0.25">
      <c r="A36" s="21"/>
      <c r="B36" s="37"/>
      <c r="C36" s="21"/>
      <c r="D36" s="21"/>
      <c r="E36" s="35" t="s">
        <v>48</v>
      </c>
      <c r="F36" s="36">
        <f ca="1">SUM(Table5[MONTO TOTAL ESTIMADO])</f>
        <v>136800</v>
      </c>
      <c r="G36" s="21"/>
    </row>
    <row r="37" spans="1:7" ht="17.25" thickBot="1" x14ac:dyDescent="0.3">
      <c r="A37" s="21"/>
      <c r="B37" s="37"/>
      <c r="C37" s="21"/>
      <c r="D37" s="21"/>
      <c r="E37" s="21"/>
      <c r="F37" s="21"/>
      <c r="G37" s="21"/>
    </row>
    <row r="38" spans="1:7" ht="23.25" thickBot="1" x14ac:dyDescent="0.3">
      <c r="A38" s="22" t="s">
        <v>19</v>
      </c>
      <c r="B38" s="38" t="s">
        <v>20</v>
      </c>
      <c r="C38" s="22" t="s">
        <v>21</v>
      </c>
      <c r="D38" s="22" t="s">
        <v>22</v>
      </c>
      <c r="E38" s="22" t="s">
        <v>23</v>
      </c>
      <c r="F38" s="22" t="s">
        <v>24</v>
      </c>
      <c r="G38" s="21"/>
    </row>
    <row r="39" spans="1:7" ht="17.25" thickBot="1" x14ac:dyDescent="0.3">
      <c r="A39" s="23" t="s">
        <v>52</v>
      </c>
      <c r="B39" s="39" t="s">
        <v>53</v>
      </c>
      <c r="C39" s="23" t="s">
        <v>54</v>
      </c>
      <c r="D39" s="23" t="s">
        <v>55</v>
      </c>
      <c r="E39" s="23" t="s">
        <v>56</v>
      </c>
      <c r="F39" s="23"/>
      <c r="G39" s="21"/>
    </row>
    <row r="40" spans="1:7" ht="17.25" thickBot="1" x14ac:dyDescent="0.3">
      <c r="A40" s="43" t="s">
        <v>30</v>
      </c>
      <c r="B40" s="40" t="s">
        <v>31</v>
      </c>
      <c r="C40" s="25">
        <v>44622</v>
      </c>
      <c r="D40" s="43" t="s">
        <v>32</v>
      </c>
      <c r="E40" s="26" t="s">
        <v>33</v>
      </c>
      <c r="F40" s="27" t="s">
        <v>34</v>
      </c>
      <c r="G40" s="21"/>
    </row>
    <row r="41" spans="1:7" ht="17.25" thickBot="1" x14ac:dyDescent="0.3">
      <c r="A41" s="44"/>
      <c r="B41" s="40" t="s">
        <v>35</v>
      </c>
      <c r="C41" s="28">
        <f>IF(C40="","",IF(AND(MONTH(C40)&gt;=1,MONTH(C40)&lt;=3),1,IF(AND(MONTH(C40)&gt;=4,MONTH(C40)&lt;=6),2,IF(AND(MONTH(C40)&gt;=7,MONTH(C40)&lt;=9),3,4))))</f>
        <v>1</v>
      </c>
      <c r="D41" s="44"/>
      <c r="E41" s="26" t="s">
        <v>36</v>
      </c>
      <c r="F41" s="27" t="s">
        <v>37</v>
      </c>
      <c r="G41" s="21"/>
    </row>
    <row r="42" spans="1:7" ht="17.25" thickBot="1" x14ac:dyDescent="0.3">
      <c r="A42" s="44"/>
      <c r="B42" s="40" t="s">
        <v>38</v>
      </c>
      <c r="C42" s="25">
        <v>44627</v>
      </c>
      <c r="D42" s="44"/>
      <c r="E42" s="26" t="s">
        <v>39</v>
      </c>
      <c r="F42" s="27"/>
      <c r="G42" s="21"/>
    </row>
    <row r="43" spans="1:7" ht="17.25" thickBot="1" x14ac:dyDescent="0.3">
      <c r="A43" s="44"/>
      <c r="B43" s="40" t="s">
        <v>35</v>
      </c>
      <c r="C43" s="28">
        <f>IF(C42="","",IF(AND(MONTH(C42)&gt;=1,MONTH(C42)&lt;=3),1,IF(AND(MONTH(C42)&gt;=4,MONTH(C42)&lt;=6),2,IF(AND(MONTH(C42)&gt;=7,MONTH(C42)&lt;=9),3,4))))</f>
        <v>1</v>
      </c>
      <c r="D43" s="44"/>
      <c r="E43" s="26" t="s">
        <v>40</v>
      </c>
      <c r="F43" s="27"/>
      <c r="G43" s="21"/>
    </row>
    <row r="44" spans="1:7" ht="17.25" thickBot="1" x14ac:dyDescent="0.3">
      <c r="A44" s="21"/>
      <c r="B44" s="37"/>
      <c r="C44" s="21"/>
      <c r="D44" s="21"/>
      <c r="E44" s="21"/>
      <c r="F44" s="21"/>
      <c r="G44" s="21"/>
    </row>
    <row r="45" spans="1:7" ht="17.25" thickBot="1" x14ac:dyDescent="0.3">
      <c r="A45" s="29" t="s">
        <v>41</v>
      </c>
      <c r="B45" s="41" t="s">
        <v>42</v>
      </c>
      <c r="C45" s="29" t="s">
        <v>43</v>
      </c>
      <c r="D45" s="29" t="s">
        <v>44</v>
      </c>
      <c r="E45" s="29" t="s">
        <v>45</v>
      </c>
      <c r="F45" s="29" t="s">
        <v>46</v>
      </c>
      <c r="G45" s="21"/>
    </row>
    <row r="46" spans="1:7" ht="16.5" x14ac:dyDescent="0.25">
      <c r="A46" s="30" t="s">
        <v>57</v>
      </c>
      <c r="B46" s="42" t="str">
        <f ca="1">IFERROR(INDEX(UNSPSCDes,MATCH(INDIRECT(ADDRESS(ROW(),COLUMN()-1,4)),UNSPSCCode,0)),IF(INDIRECT(ADDRESS(ROW(),COLUMN()-1,4))="15101701","Fuel oil de calefacción # 2",""))</f>
        <v>Fuel oil de calefacción # 2</v>
      </c>
      <c r="C46" s="32" t="str">
        <f>IFERROR(VLOOKUP("GAL",'[1]Informacion '!P:Q,2,FALSE),"")</f>
        <v>Galón</v>
      </c>
      <c r="D46" s="30">
        <v>370</v>
      </c>
      <c r="E46" s="33">
        <v>210</v>
      </c>
      <c r="F46" s="34">
        <f ca="1">INDIRECT(ADDRESS(ROW(),COLUMN()-2,4))*INDIRECT(ADDRESS(ROW(),COLUMN()-1,4))</f>
        <v>77700</v>
      </c>
      <c r="G46" s="21"/>
    </row>
    <row r="47" spans="1:7" ht="16.5" x14ac:dyDescent="0.25">
      <c r="A47" s="21"/>
      <c r="B47" s="37"/>
      <c r="C47" s="21"/>
      <c r="D47" s="21"/>
      <c r="E47" s="35" t="s">
        <v>48</v>
      </c>
      <c r="F47" s="36">
        <f ca="1">SUM(Table6[MONTO TOTAL ESTIMADO])</f>
        <v>77700</v>
      </c>
      <c r="G47" s="21"/>
    </row>
    <row r="48" spans="1:7" ht="17.25" thickBot="1" x14ac:dyDescent="0.3">
      <c r="A48" s="21"/>
      <c r="B48" s="37"/>
      <c r="C48" s="21"/>
      <c r="D48" s="21"/>
      <c r="E48" s="21"/>
      <c r="F48" s="21"/>
      <c r="G48" s="21"/>
    </row>
    <row r="49" spans="1:7" ht="23.25" thickBot="1" x14ac:dyDescent="0.3">
      <c r="A49" s="22" t="s">
        <v>19</v>
      </c>
      <c r="B49" s="38" t="s">
        <v>20</v>
      </c>
      <c r="C49" s="22" t="s">
        <v>21</v>
      </c>
      <c r="D49" s="22" t="s">
        <v>22</v>
      </c>
      <c r="E49" s="22" t="s">
        <v>23</v>
      </c>
      <c r="F49" s="22" t="s">
        <v>24</v>
      </c>
      <c r="G49" s="21"/>
    </row>
    <row r="50" spans="1:7" ht="23.25" thickBot="1" x14ac:dyDescent="0.3">
      <c r="A50" s="23" t="s">
        <v>58</v>
      </c>
      <c r="B50" s="39" t="s">
        <v>59</v>
      </c>
      <c r="C50" s="23" t="s">
        <v>27</v>
      </c>
      <c r="D50" s="23" t="s">
        <v>60</v>
      </c>
      <c r="E50" s="23" t="s">
        <v>56</v>
      </c>
      <c r="F50" s="23"/>
      <c r="G50" s="21"/>
    </row>
    <row r="51" spans="1:7" ht="17.25" thickBot="1" x14ac:dyDescent="0.3">
      <c r="A51" s="43" t="s">
        <v>30</v>
      </c>
      <c r="B51" s="40" t="s">
        <v>31</v>
      </c>
      <c r="C51" s="25">
        <v>44837</v>
      </c>
      <c r="D51" s="43" t="s">
        <v>32</v>
      </c>
      <c r="E51" s="26" t="s">
        <v>33</v>
      </c>
      <c r="F51" s="27" t="s">
        <v>34</v>
      </c>
      <c r="G51" s="21"/>
    </row>
    <row r="52" spans="1:7" ht="17.25" thickBot="1" x14ac:dyDescent="0.3">
      <c r="A52" s="44"/>
      <c r="B52" s="40" t="s">
        <v>35</v>
      </c>
      <c r="C52" s="28">
        <f>IF(C51="","",IF(AND(MONTH(C51)&gt;=1,MONTH(C51)&lt;=3),1,IF(AND(MONTH(C51)&gt;=4,MONTH(C51)&lt;=6),2,IF(AND(MONTH(C51)&gt;=7,MONTH(C51)&lt;=9),3,4))))</f>
        <v>4</v>
      </c>
      <c r="D52" s="44"/>
      <c r="E52" s="26" t="s">
        <v>36</v>
      </c>
      <c r="F52" s="27" t="s">
        <v>37</v>
      </c>
      <c r="G52" s="21"/>
    </row>
    <row r="53" spans="1:7" ht="17.25" thickBot="1" x14ac:dyDescent="0.3">
      <c r="A53" s="44"/>
      <c r="B53" s="40" t="s">
        <v>38</v>
      </c>
      <c r="C53" s="25">
        <v>44854</v>
      </c>
      <c r="D53" s="44"/>
      <c r="E53" s="26" t="s">
        <v>39</v>
      </c>
      <c r="F53" s="27"/>
      <c r="G53" s="21"/>
    </row>
    <row r="54" spans="1:7" ht="17.25" thickBot="1" x14ac:dyDescent="0.3">
      <c r="A54" s="44"/>
      <c r="B54" s="40" t="s">
        <v>35</v>
      </c>
      <c r="C54" s="28">
        <f>IF(C53="","",IF(AND(MONTH(C53)&gt;=1,MONTH(C53)&lt;=3),1,IF(AND(MONTH(C53)&gt;=4,MONTH(C53)&lt;=6),2,IF(AND(MONTH(C53)&gt;=7,MONTH(C53)&lt;=9),3,4))))</f>
        <v>4</v>
      </c>
      <c r="D54" s="44"/>
      <c r="E54" s="26" t="s">
        <v>40</v>
      </c>
      <c r="F54" s="27"/>
      <c r="G54" s="21"/>
    </row>
    <row r="55" spans="1:7" ht="17.25" thickBot="1" x14ac:dyDescent="0.3">
      <c r="A55" s="21"/>
      <c r="B55" s="37"/>
      <c r="C55" s="21"/>
      <c r="D55" s="21"/>
      <c r="E55" s="21"/>
      <c r="F55" s="21"/>
      <c r="G55" s="21"/>
    </row>
    <row r="56" spans="1:7" ht="17.25" thickBot="1" x14ac:dyDescent="0.3">
      <c r="A56" s="29" t="s">
        <v>41</v>
      </c>
      <c r="B56" s="41" t="s">
        <v>42</v>
      </c>
      <c r="C56" s="29" t="s">
        <v>43</v>
      </c>
      <c r="D56" s="29" t="s">
        <v>44</v>
      </c>
      <c r="E56" s="29" t="s">
        <v>45</v>
      </c>
      <c r="F56" s="29" t="s">
        <v>46</v>
      </c>
      <c r="G56" s="21"/>
    </row>
    <row r="57" spans="1:7" ht="16.5" x14ac:dyDescent="0.25">
      <c r="A57" s="30" t="s">
        <v>61</v>
      </c>
      <c r="B57" s="42" t="str">
        <f ca="1">IFERROR(INDEX(UNSPSCDes,MATCH(INDIRECT(ADDRESS(ROW(),COLUMN()-1,4)),UNSPSCCode,0)),IF(INDIRECT(ADDRESS(ROW(),COLUMN()-1,4))="44101501","Fotocopiadoras",""))</f>
        <v>Fotocopiadoras</v>
      </c>
      <c r="C57" s="32" t="str">
        <f>IFERROR(VLOOKUP("UD",'[1]Informacion '!P:Q,2,FALSE),"")</f>
        <v>Unidad</v>
      </c>
      <c r="D57" s="30">
        <v>12</v>
      </c>
      <c r="E57" s="33">
        <v>185000</v>
      </c>
      <c r="F57" s="34">
        <f ca="1">INDIRECT(ADDRESS(ROW(),COLUMN()-2,4))*INDIRECT(ADDRESS(ROW(),COLUMN()-1,4))</f>
        <v>2220000</v>
      </c>
      <c r="G57" s="21"/>
    </row>
    <row r="58" spans="1:7" ht="16.5" x14ac:dyDescent="0.25">
      <c r="A58" s="21"/>
      <c r="B58" s="37"/>
      <c r="C58" s="21"/>
      <c r="D58" s="21"/>
      <c r="E58" s="35" t="s">
        <v>48</v>
      </c>
      <c r="F58" s="36">
        <f ca="1">SUM(Table7[MONTO TOTAL ESTIMADO])</f>
        <v>2220000</v>
      </c>
      <c r="G58" s="21"/>
    </row>
    <row r="59" spans="1:7" ht="17.25" thickBot="1" x14ac:dyDescent="0.3">
      <c r="A59" s="21"/>
      <c r="B59" s="37"/>
      <c r="C59" s="21"/>
      <c r="D59" s="21"/>
      <c r="E59" s="21"/>
      <c r="F59" s="21"/>
      <c r="G59" s="21"/>
    </row>
    <row r="60" spans="1:7" ht="23.25" thickBot="1" x14ac:dyDescent="0.3">
      <c r="A60" s="22" t="s">
        <v>19</v>
      </c>
      <c r="B60" s="38" t="s">
        <v>20</v>
      </c>
      <c r="C60" s="22" t="s">
        <v>21</v>
      </c>
      <c r="D60" s="22" t="s">
        <v>22</v>
      </c>
      <c r="E60" s="22" t="s">
        <v>23</v>
      </c>
      <c r="F60" s="22" t="s">
        <v>24</v>
      </c>
      <c r="G60" s="21"/>
    </row>
    <row r="61" spans="1:7" ht="45.75" thickBot="1" x14ac:dyDescent="0.3">
      <c r="A61" s="23" t="s">
        <v>62</v>
      </c>
      <c r="B61" s="39" t="s">
        <v>63</v>
      </c>
      <c r="C61" s="23" t="s">
        <v>27</v>
      </c>
      <c r="D61" s="23" t="s">
        <v>60</v>
      </c>
      <c r="E61" s="23" t="s">
        <v>29</v>
      </c>
      <c r="F61" s="23"/>
      <c r="G61" s="21"/>
    </row>
    <row r="62" spans="1:7" ht="17.25" thickBot="1" x14ac:dyDescent="0.3">
      <c r="A62" s="43" t="s">
        <v>30</v>
      </c>
      <c r="B62" s="40" t="s">
        <v>31</v>
      </c>
      <c r="C62" s="25">
        <v>44593</v>
      </c>
      <c r="D62" s="43" t="s">
        <v>32</v>
      </c>
      <c r="E62" s="26" t="s">
        <v>33</v>
      </c>
      <c r="F62" s="27" t="s">
        <v>34</v>
      </c>
      <c r="G62" s="21"/>
    </row>
    <row r="63" spans="1:7" ht="17.25" thickBot="1" x14ac:dyDescent="0.3">
      <c r="A63" s="44"/>
      <c r="B63" s="40" t="s">
        <v>35</v>
      </c>
      <c r="C63" s="28">
        <f>IF(C62="","",IF(AND(MONTH(C62)&gt;=1,MONTH(C62)&lt;=3),1,IF(AND(MONTH(C62)&gt;=4,MONTH(C62)&lt;=6),2,IF(AND(MONTH(C62)&gt;=7,MONTH(C62)&lt;=9),3,4))))</f>
        <v>1</v>
      </c>
      <c r="D63" s="44"/>
      <c r="E63" s="26" t="s">
        <v>36</v>
      </c>
      <c r="F63" s="27" t="s">
        <v>37</v>
      </c>
      <c r="G63" s="21"/>
    </row>
    <row r="64" spans="1:7" ht="17.25" thickBot="1" x14ac:dyDescent="0.3">
      <c r="A64" s="44"/>
      <c r="B64" s="40" t="s">
        <v>38</v>
      </c>
      <c r="C64" s="25">
        <v>44602</v>
      </c>
      <c r="D64" s="44"/>
      <c r="E64" s="26" t="s">
        <v>39</v>
      </c>
      <c r="F64" s="27"/>
      <c r="G64" s="21"/>
    </row>
    <row r="65" spans="1:7" ht="17.25" thickBot="1" x14ac:dyDescent="0.3">
      <c r="A65" s="44"/>
      <c r="B65" s="40" t="s">
        <v>35</v>
      </c>
      <c r="C65" s="28">
        <f>IF(C64="","",IF(AND(MONTH(C64)&gt;=1,MONTH(C64)&lt;=3),1,IF(AND(MONTH(C64)&gt;=4,MONTH(C64)&lt;=6),2,IF(AND(MONTH(C64)&gt;=7,MONTH(C64)&lt;=9),3,4))))</f>
        <v>1</v>
      </c>
      <c r="D65" s="44"/>
      <c r="E65" s="26" t="s">
        <v>40</v>
      </c>
      <c r="F65" s="27"/>
      <c r="G65" s="21"/>
    </row>
    <row r="66" spans="1:7" ht="17.25" thickBot="1" x14ac:dyDescent="0.3">
      <c r="A66" s="21"/>
      <c r="B66" s="37"/>
      <c r="C66" s="21"/>
      <c r="D66" s="21"/>
      <c r="E66" s="21"/>
      <c r="F66" s="21"/>
      <c r="G66" s="21"/>
    </row>
    <row r="67" spans="1:7" ht="17.25" thickBot="1" x14ac:dyDescent="0.3">
      <c r="A67" s="29" t="s">
        <v>41</v>
      </c>
      <c r="B67" s="41" t="s">
        <v>42</v>
      </c>
      <c r="C67" s="29" t="s">
        <v>43</v>
      </c>
      <c r="D67" s="29" t="s">
        <v>44</v>
      </c>
      <c r="E67" s="29" t="s">
        <v>45</v>
      </c>
      <c r="F67" s="29" t="s">
        <v>46</v>
      </c>
      <c r="G67" s="21"/>
    </row>
    <row r="68" spans="1:7" ht="16.5" x14ac:dyDescent="0.25">
      <c r="A68" s="30" t="s">
        <v>64</v>
      </c>
      <c r="B68" s="42" t="str">
        <f ca="1">IFERROR(INDEX(UNSPSCDes,MATCH(INDIRECT(ADDRESS(ROW(),COLUMN()-1,4)),UNSPSCCode,0)),IF(INDIRECT(ADDRESS(ROW(),COLUMN()-1,4))="78180102","Reparación de Transmisión",""))</f>
        <v>Reparación de Transmisión</v>
      </c>
      <c r="C68" s="32" t="str">
        <f>IFERROR(VLOOKUP("UD",'[1]Informacion '!P:Q,2,FALSE),"")</f>
        <v>Unidad</v>
      </c>
      <c r="D68" s="30">
        <v>1</v>
      </c>
      <c r="E68" s="33">
        <v>800000</v>
      </c>
      <c r="F68" s="34">
        <f ca="1">INDIRECT(ADDRESS(ROW(),COLUMN()-2,4))*INDIRECT(ADDRESS(ROW(),COLUMN()-1,4))</f>
        <v>800000</v>
      </c>
      <c r="G68" s="21"/>
    </row>
    <row r="69" spans="1:7" ht="22.5" x14ac:dyDescent="0.25">
      <c r="A69" s="30" t="s">
        <v>65</v>
      </c>
      <c r="B69" s="42" t="str">
        <f ca="1">IFERROR(INDEX(UNSPSCDes,MATCH(INDIRECT(ADDRESS(ROW(),COLUMN()-1,4)),UNSPSCCode,0)),IF(INDIRECT(ADDRESS(ROW(),COLUMN()-1,4))="78180101","Servicios de reparar o pintar la carrocería de vehículos",""))</f>
        <v>Servicios de reparar o pintar la carrocería de vehículos</v>
      </c>
      <c r="C69" s="32" t="str">
        <f>IFERROR(VLOOKUP("UD",'[1]Informacion '!P:Q,2,FALSE),"")</f>
        <v>Unidad</v>
      </c>
      <c r="D69" s="30">
        <v>1</v>
      </c>
      <c r="E69" s="33">
        <v>400000</v>
      </c>
      <c r="F69" s="34">
        <f ca="1">INDIRECT(ADDRESS(ROW(),COLUMN()-2,4))*INDIRECT(ADDRESS(ROW(),COLUMN()-1,4))</f>
        <v>400000</v>
      </c>
      <c r="G69" s="21"/>
    </row>
    <row r="70" spans="1:7" ht="16.5" x14ac:dyDescent="0.25">
      <c r="A70" s="21"/>
      <c r="B70" s="37"/>
      <c r="C70" s="21"/>
      <c r="D70" s="21"/>
      <c r="E70" s="35" t="s">
        <v>48</v>
      </c>
      <c r="F70" s="36">
        <f ca="1">SUM(Table8[MONTO TOTAL ESTIMADO])</f>
        <v>1200000</v>
      </c>
      <c r="G70" s="21"/>
    </row>
    <row r="71" spans="1:7" ht="17.25" thickBot="1" x14ac:dyDescent="0.3">
      <c r="A71" s="21"/>
      <c r="B71" s="37"/>
      <c r="C71" s="21"/>
      <c r="D71" s="21"/>
      <c r="E71" s="21"/>
      <c r="F71" s="21"/>
      <c r="G71" s="21"/>
    </row>
    <row r="72" spans="1:7" ht="23.25" thickBot="1" x14ac:dyDescent="0.3">
      <c r="A72" s="22" t="s">
        <v>19</v>
      </c>
      <c r="B72" s="38" t="s">
        <v>20</v>
      </c>
      <c r="C72" s="22" t="s">
        <v>21</v>
      </c>
      <c r="D72" s="22" t="s">
        <v>22</v>
      </c>
      <c r="E72" s="22" t="s">
        <v>23</v>
      </c>
      <c r="F72" s="22" t="s">
        <v>24</v>
      </c>
      <c r="G72" s="21"/>
    </row>
    <row r="73" spans="1:7" ht="17.25" thickBot="1" x14ac:dyDescent="0.3">
      <c r="A73" s="23" t="s">
        <v>66</v>
      </c>
      <c r="B73" s="39" t="s">
        <v>67</v>
      </c>
      <c r="C73" s="23" t="s">
        <v>27</v>
      </c>
      <c r="D73" s="23" t="s">
        <v>55</v>
      </c>
      <c r="E73" s="23" t="s">
        <v>56</v>
      </c>
      <c r="F73" s="23"/>
      <c r="G73" s="21"/>
    </row>
    <row r="74" spans="1:7" ht="17.25" thickBot="1" x14ac:dyDescent="0.3">
      <c r="A74" s="43" t="s">
        <v>30</v>
      </c>
      <c r="B74" s="40" t="s">
        <v>31</v>
      </c>
      <c r="C74" s="25">
        <v>44655</v>
      </c>
      <c r="D74" s="43" t="s">
        <v>32</v>
      </c>
      <c r="E74" s="26" t="s">
        <v>33</v>
      </c>
      <c r="F74" s="27" t="s">
        <v>34</v>
      </c>
      <c r="G74" s="21"/>
    </row>
    <row r="75" spans="1:7" ht="17.25" thickBot="1" x14ac:dyDescent="0.3">
      <c r="A75" s="44"/>
      <c r="B75" s="40" t="s">
        <v>35</v>
      </c>
      <c r="C75" s="28">
        <f>IF(C74="","",IF(AND(MONTH(C74)&gt;=1,MONTH(C74)&lt;=3),1,IF(AND(MONTH(C74)&gt;=4,MONTH(C74)&lt;=6),2,IF(AND(MONTH(C74)&gt;=7,MONTH(C74)&lt;=9),3,4))))</f>
        <v>2</v>
      </c>
      <c r="D75" s="44"/>
      <c r="E75" s="26" t="s">
        <v>36</v>
      </c>
      <c r="F75" s="27" t="s">
        <v>37</v>
      </c>
      <c r="G75" s="21"/>
    </row>
    <row r="76" spans="1:7" ht="17.25" thickBot="1" x14ac:dyDescent="0.3">
      <c r="A76" s="44"/>
      <c r="B76" s="40" t="s">
        <v>38</v>
      </c>
      <c r="C76" s="25">
        <v>44662</v>
      </c>
      <c r="D76" s="44"/>
      <c r="E76" s="26" t="s">
        <v>39</v>
      </c>
      <c r="F76" s="27"/>
      <c r="G76" s="21"/>
    </row>
    <row r="77" spans="1:7" ht="17.25" thickBot="1" x14ac:dyDescent="0.3">
      <c r="A77" s="44"/>
      <c r="B77" s="24" t="s">
        <v>35</v>
      </c>
      <c r="C77" s="28">
        <f>IF(C76="","",IF(AND(MONTH(C76)&gt;=1,MONTH(C76)&lt;=3),1,IF(AND(MONTH(C76)&gt;=4,MONTH(C76)&lt;=6),2,IF(AND(MONTH(C76)&gt;=7,MONTH(C76)&lt;=9),3,4))))</f>
        <v>2</v>
      </c>
      <c r="D77" s="44"/>
      <c r="E77" s="26" t="s">
        <v>40</v>
      </c>
      <c r="F77" s="27"/>
      <c r="G77" s="21"/>
    </row>
    <row r="78" spans="1:7" ht="17.25" thickBot="1" x14ac:dyDescent="0.3">
      <c r="A78" s="21"/>
      <c r="B78" s="21"/>
      <c r="C78" s="21"/>
      <c r="D78" s="21"/>
      <c r="E78" s="21"/>
      <c r="F78" s="21"/>
      <c r="G78" s="21"/>
    </row>
    <row r="79" spans="1:7" ht="17.25" thickBot="1" x14ac:dyDescent="0.3">
      <c r="A79" s="29" t="s">
        <v>41</v>
      </c>
      <c r="B79" s="29" t="s">
        <v>42</v>
      </c>
      <c r="C79" s="29" t="s">
        <v>43</v>
      </c>
      <c r="D79" s="29" t="s">
        <v>44</v>
      </c>
      <c r="E79" s="29" t="s">
        <v>45</v>
      </c>
      <c r="F79" s="29" t="s">
        <v>46</v>
      </c>
      <c r="G79" s="21"/>
    </row>
    <row r="80" spans="1:7" ht="22.5" x14ac:dyDescent="0.25">
      <c r="A80" s="30" t="s">
        <v>68</v>
      </c>
      <c r="B80" s="31" t="str">
        <f ca="1">IFERROR(INDEX(UNSPSCDes,MATCH(INDIRECT(ADDRESS(ROW(),COLUMN()-1,4)),UNSPSCCode,0)),IF(INDIRECT(ADDRESS(ROW(),COLUMN()-1,4))="72101517","Servicio de mantenimiento o reparación de generadores portátiles",""))</f>
        <v>Servicio de mantenimiento o reparación de generadores portátiles</v>
      </c>
      <c r="C80" s="32" t="str">
        <f>IFERROR(VLOOKUP("UD",'[1]Informacion '!P:Q,2,FALSE),"")</f>
        <v>Unidad</v>
      </c>
      <c r="D80" s="30">
        <v>1</v>
      </c>
      <c r="E80" s="33">
        <v>40000</v>
      </c>
      <c r="F80" s="34">
        <f ca="1">INDIRECT(ADDRESS(ROW(),COLUMN()-2,4))*INDIRECT(ADDRESS(ROW(),COLUMN()-1,4))</f>
        <v>40000</v>
      </c>
      <c r="G80" s="21"/>
    </row>
    <row r="81" spans="1:7" ht="16.5" x14ac:dyDescent="0.25">
      <c r="A81" s="21"/>
      <c r="B81" s="21"/>
      <c r="C81" s="21"/>
      <c r="D81" s="21"/>
      <c r="E81" s="35" t="s">
        <v>48</v>
      </c>
      <c r="F81" s="36">
        <f ca="1">SUM(Table9[MONTO TOTAL ESTIMADO])</f>
        <v>40000</v>
      </c>
      <c r="G81" s="21"/>
    </row>
    <row r="82" spans="1:7" ht="17.25" thickBot="1" x14ac:dyDescent="0.3">
      <c r="A82" s="21"/>
      <c r="B82" s="21"/>
      <c r="C82" s="21"/>
      <c r="D82" s="21"/>
      <c r="E82" s="21"/>
      <c r="F82" s="21"/>
      <c r="G82" s="21"/>
    </row>
    <row r="83" spans="1:7" ht="23.25" thickBot="1" x14ac:dyDescent="0.3">
      <c r="A83" s="22" t="s">
        <v>19</v>
      </c>
      <c r="B83" s="22" t="s">
        <v>20</v>
      </c>
      <c r="C83" s="22" t="s">
        <v>21</v>
      </c>
      <c r="D83" s="22" t="s">
        <v>22</v>
      </c>
      <c r="E83" s="22" t="s">
        <v>23</v>
      </c>
      <c r="F83" s="22" t="s">
        <v>24</v>
      </c>
      <c r="G83" s="21"/>
    </row>
    <row r="84" spans="1:7" ht="17.25" thickBot="1" x14ac:dyDescent="0.3">
      <c r="A84" s="23" t="s">
        <v>69</v>
      </c>
      <c r="B84" s="23" t="s">
        <v>70</v>
      </c>
      <c r="C84" s="23" t="s">
        <v>54</v>
      </c>
      <c r="D84" s="23" t="s">
        <v>28</v>
      </c>
      <c r="E84" s="23" t="s">
        <v>29</v>
      </c>
      <c r="F84" s="23"/>
      <c r="G84" s="21"/>
    </row>
    <row r="85" spans="1:7" ht="17.25" thickBot="1" x14ac:dyDescent="0.3">
      <c r="A85" s="43" t="s">
        <v>30</v>
      </c>
      <c r="B85" s="24" t="s">
        <v>31</v>
      </c>
      <c r="C85" s="25">
        <v>44657</v>
      </c>
      <c r="D85" s="43" t="s">
        <v>32</v>
      </c>
      <c r="E85" s="26" t="s">
        <v>33</v>
      </c>
      <c r="F85" s="27" t="s">
        <v>34</v>
      </c>
      <c r="G85" s="21"/>
    </row>
    <row r="86" spans="1:7" ht="17.25" thickBot="1" x14ac:dyDescent="0.3">
      <c r="A86" s="44"/>
      <c r="B86" s="24" t="s">
        <v>35</v>
      </c>
      <c r="C86" s="28">
        <f>IF(C85="","",IF(AND(MONTH(C85)&gt;=1,MONTH(C85)&lt;=3),1,IF(AND(MONTH(C85)&gt;=4,MONTH(C85)&lt;=6),2,IF(AND(MONTH(C85)&gt;=7,MONTH(C85)&lt;=9),3,4))))</f>
        <v>2</v>
      </c>
      <c r="D86" s="44"/>
      <c r="E86" s="26" t="s">
        <v>36</v>
      </c>
      <c r="F86" s="27" t="s">
        <v>37</v>
      </c>
      <c r="G86" s="21"/>
    </row>
    <row r="87" spans="1:7" ht="17.25" thickBot="1" x14ac:dyDescent="0.3">
      <c r="A87" s="44"/>
      <c r="B87" s="24" t="s">
        <v>38</v>
      </c>
      <c r="C87" s="25">
        <v>44666</v>
      </c>
      <c r="D87" s="44"/>
      <c r="E87" s="26" t="s">
        <v>39</v>
      </c>
      <c r="F87" s="27"/>
      <c r="G87" s="21"/>
    </row>
    <row r="88" spans="1:7" ht="17.25" thickBot="1" x14ac:dyDescent="0.3">
      <c r="A88" s="44"/>
      <c r="B88" s="24" t="s">
        <v>35</v>
      </c>
      <c r="C88" s="28">
        <f>IF(C87="","",IF(AND(MONTH(C87)&gt;=1,MONTH(C87)&lt;=3),1,IF(AND(MONTH(C87)&gt;=4,MONTH(C87)&lt;=6),2,IF(AND(MONTH(C87)&gt;=7,MONTH(C87)&lt;=9),3,4))))</f>
        <v>2</v>
      </c>
      <c r="D88" s="44"/>
      <c r="E88" s="26" t="s">
        <v>40</v>
      </c>
      <c r="F88" s="27"/>
      <c r="G88" s="21"/>
    </row>
    <row r="89" spans="1:7" ht="17.25" thickBot="1" x14ac:dyDescent="0.3">
      <c r="A89" s="21"/>
      <c r="B89" s="21"/>
      <c r="C89" s="21"/>
      <c r="D89" s="21"/>
      <c r="E89" s="21"/>
      <c r="F89" s="21"/>
      <c r="G89" s="21"/>
    </row>
    <row r="90" spans="1:7" ht="17.25" thickBot="1" x14ac:dyDescent="0.3">
      <c r="A90" s="29" t="s">
        <v>41</v>
      </c>
      <c r="B90" s="29" t="s">
        <v>42</v>
      </c>
      <c r="C90" s="29" t="s">
        <v>43</v>
      </c>
      <c r="D90" s="29" t="s">
        <v>44</v>
      </c>
      <c r="E90" s="29" t="s">
        <v>45</v>
      </c>
      <c r="F90" s="29" t="s">
        <v>46</v>
      </c>
      <c r="G90" s="21"/>
    </row>
    <row r="91" spans="1:7" ht="16.5" x14ac:dyDescent="0.25">
      <c r="A91" s="30" t="s">
        <v>71</v>
      </c>
      <c r="B91" s="31" t="str">
        <f ca="1">IFERROR(INDEX(UNSPSCDes,MATCH(INDIRECT(ADDRESS(ROW(),COLUMN()-1,4)),UNSPSCCode,0)),IF(INDIRECT(ADDRESS(ROW(),COLUMN()-1,4))="14111507","Papel para impresora o fotocopiadora",""))</f>
        <v>Papel para impresora o fotocopiadora</v>
      </c>
      <c r="C91" s="32" t="str">
        <f>IFERROR(VLOOKUP("RESMA",'[1]Informacion '!P:Q,2,FALSE),"")</f>
        <v>Resma</v>
      </c>
      <c r="D91" s="30">
        <v>1200</v>
      </c>
      <c r="E91" s="33">
        <v>190</v>
      </c>
      <c r="F91" s="34">
        <f t="shared" ref="F91:F135" ca="1" si="0">INDIRECT(ADDRESS(ROW(),COLUMN()-2,4))*INDIRECT(ADDRESS(ROW(),COLUMN()-1,4))</f>
        <v>228000</v>
      </c>
      <c r="G91" s="21"/>
    </row>
    <row r="92" spans="1:7" ht="16.5" x14ac:dyDescent="0.25">
      <c r="A92" s="30" t="s">
        <v>72</v>
      </c>
      <c r="B92" s="31" t="str">
        <f ca="1">IFERROR(INDEX(UNSPSCDes,MATCH(INDIRECT(ADDRESS(ROW(),COLUMN()-1,4)),UNSPSCCode,0)),IF(INDIRECT(ADDRESS(ROW(),COLUMN()-1,4))="24121503","Cajas para empacar",""))</f>
        <v>Cajas para empacar</v>
      </c>
      <c r="C92" s="32" t="str">
        <f>IFERROR(VLOOKUP("UD",'[1]Informacion '!P:Q,2,FALSE),"")</f>
        <v>Unidad</v>
      </c>
      <c r="D92" s="30">
        <v>800</v>
      </c>
      <c r="E92" s="33">
        <v>80</v>
      </c>
      <c r="F92" s="34">
        <f t="shared" ca="1" si="0"/>
        <v>64000</v>
      </c>
      <c r="G92" s="21"/>
    </row>
    <row r="93" spans="1:7" ht="16.5" x14ac:dyDescent="0.25">
      <c r="A93" s="30" t="s">
        <v>73</v>
      </c>
      <c r="B93" s="31" t="str">
        <f ca="1">IFERROR(INDEX(UNSPSCDes,MATCH(INDIRECT(ADDRESS(ROW(),COLUMN()-1,4)),UNSPSCCode,0)),IF(INDIRECT(ADDRESS(ROW(),COLUMN()-1,4))="14111537","Etiquetas de papel",""))</f>
        <v>Etiquetas de papel</v>
      </c>
      <c r="C93" s="32" t="str">
        <f>IFERROR(VLOOKUP("CAJ",'[1]Informacion '!P:Q,2,FALSE),"")</f>
        <v>Caja</v>
      </c>
      <c r="D93" s="30">
        <v>15</v>
      </c>
      <c r="E93" s="33">
        <v>50</v>
      </c>
      <c r="F93" s="34">
        <f t="shared" ca="1" si="0"/>
        <v>750</v>
      </c>
      <c r="G93" s="21"/>
    </row>
    <row r="94" spans="1:7" ht="22.5" x14ac:dyDescent="0.25">
      <c r="A94" s="30" t="s">
        <v>74</v>
      </c>
      <c r="B94" s="31" t="str">
        <f ca="1">IFERROR(INDEX(UNSPSCDes,MATCH(INDIRECT(ADDRESS(ROW(),COLUMN()-1,4)),UNSPSCCode,0)),IF(INDIRECT(ADDRESS(ROW(),COLUMN()-1,4))="14111526","Papel libretas o libros de mensajes telefónicos",""))</f>
        <v>Papel libretas o libros de mensajes telefónicos</v>
      </c>
      <c r="C94" s="32" t="str">
        <f>IFERROR(VLOOKUP("UD",'[1]Informacion '!P:Q,2,FALSE),"")</f>
        <v>Unidad</v>
      </c>
      <c r="D94" s="30">
        <v>50</v>
      </c>
      <c r="E94" s="33">
        <v>40</v>
      </c>
      <c r="F94" s="34">
        <f t="shared" ca="1" si="0"/>
        <v>2000</v>
      </c>
      <c r="G94" s="21"/>
    </row>
    <row r="95" spans="1:7" ht="22.5" x14ac:dyDescent="0.25">
      <c r="A95" s="30" t="s">
        <v>74</v>
      </c>
      <c r="B95" s="31" t="str">
        <f ca="1">IFERROR(INDEX(UNSPSCDes,MATCH(INDIRECT(ADDRESS(ROW(),COLUMN()-1,4)),UNSPSCCode,0)),IF(INDIRECT(ADDRESS(ROW(),COLUMN()-1,4))="14111526","Papel libretas o libros de mensajes telefónicos",""))</f>
        <v>Papel libretas o libros de mensajes telefónicos</v>
      </c>
      <c r="C95" s="32" t="str">
        <f>IFERROR(VLOOKUP("UD",'[1]Informacion '!P:Q,2,FALSE),"")</f>
        <v>Unidad</v>
      </c>
      <c r="D95" s="30">
        <v>50</v>
      </c>
      <c r="E95" s="33">
        <v>15</v>
      </c>
      <c r="F95" s="34">
        <f t="shared" ca="1" si="0"/>
        <v>750</v>
      </c>
      <c r="G95" s="21"/>
    </row>
    <row r="96" spans="1:7" ht="16.5" x14ac:dyDescent="0.25">
      <c r="A96" s="30" t="s">
        <v>75</v>
      </c>
      <c r="B96" s="31" t="str">
        <f ca="1">IFERROR(INDEX(UNSPSCDes,MATCH(INDIRECT(ADDRESS(ROW(),COLUMN()-1,4)),UNSPSCCode,0)),IF(INDIRECT(ADDRESS(ROW(),COLUMN()-1,4))="14111531","Papel libros o cuadernos para bitácoras",""))</f>
        <v>Papel libros o cuadernos para bitácoras</v>
      </c>
      <c r="C96" s="32" t="str">
        <f>IFERROR(VLOOKUP("UD",'[1]Informacion '!P:Q,2,FALSE),"")</f>
        <v>Unidad</v>
      </c>
      <c r="D96" s="30">
        <v>40</v>
      </c>
      <c r="E96" s="33">
        <v>255</v>
      </c>
      <c r="F96" s="34">
        <f t="shared" ca="1" si="0"/>
        <v>10200</v>
      </c>
      <c r="G96" s="21"/>
    </row>
    <row r="97" spans="1:7" ht="16.5" x14ac:dyDescent="0.25">
      <c r="A97" s="30" t="s">
        <v>76</v>
      </c>
      <c r="B97" s="31" t="str">
        <f ca="1">IFERROR(INDEX(UNSPSCDes,MATCH(INDIRECT(ADDRESS(ROW(),COLUMN()-1,4)),UNSPSCCode,0)),IF(INDIRECT(ADDRESS(ROW(),COLUMN()-1,4))="44122003","Carpetas",""))</f>
        <v>Carpetas</v>
      </c>
      <c r="C97" s="32" t="str">
        <f>IFERROR(VLOOKUP("UD",'[1]Informacion '!P:Q,2,FALSE),"")</f>
        <v>Unidad</v>
      </c>
      <c r="D97" s="30">
        <v>30</v>
      </c>
      <c r="E97" s="33">
        <v>120</v>
      </c>
      <c r="F97" s="34">
        <f t="shared" ca="1" si="0"/>
        <v>3600</v>
      </c>
      <c r="G97" s="21"/>
    </row>
    <row r="98" spans="1:7" ht="16.5" x14ac:dyDescent="0.25">
      <c r="A98" s="30" t="s">
        <v>76</v>
      </c>
      <c r="B98" s="31" t="str">
        <f ca="1">IFERROR(INDEX(UNSPSCDes,MATCH(INDIRECT(ADDRESS(ROW(),COLUMN()-1,4)),UNSPSCCode,0)),IF(INDIRECT(ADDRESS(ROW(),COLUMN()-1,4))="44122003","Carpetas",""))</f>
        <v>Carpetas</v>
      </c>
      <c r="C98" s="32" t="str">
        <f>IFERROR(VLOOKUP("UD",'[1]Informacion '!P:Q,2,FALSE),"")</f>
        <v>Unidad</v>
      </c>
      <c r="D98" s="30">
        <v>20</v>
      </c>
      <c r="E98" s="33">
        <v>150</v>
      </c>
      <c r="F98" s="34">
        <f t="shared" ca="1" si="0"/>
        <v>3000</v>
      </c>
      <c r="G98" s="21"/>
    </row>
    <row r="99" spans="1:7" ht="16.5" x14ac:dyDescent="0.25">
      <c r="A99" s="30" t="s">
        <v>76</v>
      </c>
      <c r="B99" s="31" t="str">
        <f ca="1">IFERROR(INDEX(UNSPSCDes,MATCH(INDIRECT(ADDRESS(ROW(),COLUMN()-1,4)),UNSPSCCode,0)),IF(INDIRECT(ADDRESS(ROW(),COLUMN()-1,4))="44122003","Carpetas",""))</f>
        <v>Carpetas</v>
      </c>
      <c r="C99" s="32" t="str">
        <f>IFERROR(VLOOKUP("UD",'[1]Informacion '!P:Q,2,FALSE),"")</f>
        <v>Unidad</v>
      </c>
      <c r="D99" s="30">
        <v>30</v>
      </c>
      <c r="E99" s="33">
        <v>215</v>
      </c>
      <c r="F99" s="34">
        <f t="shared" ca="1" si="0"/>
        <v>6450</v>
      </c>
      <c r="G99" s="21"/>
    </row>
    <row r="100" spans="1:7" ht="16.5" x14ac:dyDescent="0.25">
      <c r="A100" s="30" t="s">
        <v>76</v>
      </c>
      <c r="B100" s="31" t="str">
        <f ca="1">IFERROR(INDEX(UNSPSCDes,MATCH(INDIRECT(ADDRESS(ROW(),COLUMN()-1,4)),UNSPSCCode,0)),IF(INDIRECT(ADDRESS(ROW(),COLUMN()-1,4))="44122003","Carpetas",""))</f>
        <v>Carpetas</v>
      </c>
      <c r="C100" s="32" t="str">
        <f>IFERROR(VLOOKUP("UD",'[1]Informacion '!P:Q,2,FALSE),"")</f>
        <v>Unidad</v>
      </c>
      <c r="D100" s="30">
        <v>85</v>
      </c>
      <c r="E100" s="33">
        <v>350</v>
      </c>
      <c r="F100" s="34">
        <f t="shared" ca="1" si="0"/>
        <v>29750</v>
      </c>
      <c r="G100" s="21"/>
    </row>
    <row r="101" spans="1:7" ht="16.5" x14ac:dyDescent="0.25">
      <c r="A101" s="30" t="s">
        <v>77</v>
      </c>
      <c r="B101" s="31" t="str">
        <f ca="1">IFERROR(INDEX(UNSPSCDes,MATCH(INDIRECT(ADDRESS(ROW(),COLUMN()-1,4)),UNSPSCCode,0)),IF(INDIRECT(ADDRESS(ROW(),COLUMN()-1,4))="31201512","Cinta transparente",""))</f>
        <v>Cinta transparente</v>
      </c>
      <c r="C101" s="32" t="str">
        <f>IFERROR(VLOOKUP("UD",'[1]Informacion '!P:Q,2,FALSE),"")</f>
        <v>Unidad</v>
      </c>
      <c r="D101" s="30">
        <v>100</v>
      </c>
      <c r="E101" s="33">
        <v>50</v>
      </c>
      <c r="F101" s="34">
        <f t="shared" ca="1" si="0"/>
        <v>5000</v>
      </c>
      <c r="G101" s="21"/>
    </row>
    <row r="102" spans="1:7" ht="16.5" x14ac:dyDescent="0.25">
      <c r="A102" s="30" t="s">
        <v>77</v>
      </c>
      <c r="B102" s="31" t="str">
        <f ca="1">IFERROR(INDEX(UNSPSCDes,MATCH(INDIRECT(ADDRESS(ROW(),COLUMN()-1,4)),UNSPSCCode,0)),IF(INDIRECT(ADDRESS(ROW(),COLUMN()-1,4))="31201512","Cinta transparente",""))</f>
        <v>Cinta transparente</v>
      </c>
      <c r="C102" s="32" t="str">
        <f>IFERROR(VLOOKUP("UD",'[1]Informacion '!P:Q,2,FALSE),"")</f>
        <v>Unidad</v>
      </c>
      <c r="D102" s="30">
        <v>100</v>
      </c>
      <c r="E102" s="33">
        <v>60</v>
      </c>
      <c r="F102" s="34">
        <f t="shared" ca="1" si="0"/>
        <v>6000</v>
      </c>
      <c r="G102" s="21"/>
    </row>
    <row r="103" spans="1:7" ht="16.5" x14ac:dyDescent="0.25">
      <c r="A103" s="30" t="s">
        <v>78</v>
      </c>
      <c r="B103" s="31" t="str">
        <f ca="1">IFERROR(INDEX(UNSPSCDes,MATCH(INDIRECT(ADDRESS(ROW(),COLUMN()-1,4)),UNSPSCCode,0)),IF(INDIRECT(ADDRESS(ROW(),COLUMN()-1,4))="44122104","Clips para papel",""))</f>
        <v>Clips para papel</v>
      </c>
      <c r="C103" s="32" t="str">
        <f>IFERROR(VLOOKUP("CAJ",'[1]Informacion '!P:Q,2,FALSE),"")</f>
        <v>Caja</v>
      </c>
      <c r="D103" s="30">
        <v>60</v>
      </c>
      <c r="E103" s="33">
        <v>40</v>
      </c>
      <c r="F103" s="34">
        <f t="shared" ca="1" si="0"/>
        <v>2400</v>
      </c>
      <c r="G103" s="21"/>
    </row>
    <row r="104" spans="1:7" ht="16.5" x14ac:dyDescent="0.25">
      <c r="A104" s="30" t="s">
        <v>78</v>
      </c>
      <c r="B104" s="31" t="str">
        <f ca="1">IFERROR(INDEX(UNSPSCDes,MATCH(INDIRECT(ADDRESS(ROW(),COLUMN()-1,4)),UNSPSCCode,0)),IF(INDIRECT(ADDRESS(ROW(),COLUMN()-1,4))="44122104","Clips para papel",""))</f>
        <v>Clips para papel</v>
      </c>
      <c r="C104" s="32" t="str">
        <f>IFERROR(VLOOKUP("CAJ",'[1]Informacion '!P:Q,2,FALSE),"")</f>
        <v>Caja</v>
      </c>
      <c r="D104" s="30">
        <v>50</v>
      </c>
      <c r="E104" s="33">
        <v>90</v>
      </c>
      <c r="F104" s="34">
        <f t="shared" ca="1" si="0"/>
        <v>4500</v>
      </c>
      <c r="G104" s="21"/>
    </row>
    <row r="105" spans="1:7" ht="16.5" x14ac:dyDescent="0.25">
      <c r="A105" s="30" t="s">
        <v>78</v>
      </c>
      <c r="B105" s="31" t="str">
        <f ca="1">IFERROR(INDEX(UNSPSCDes,MATCH(INDIRECT(ADDRESS(ROW(),COLUMN()-1,4)),UNSPSCCode,0)),IF(INDIRECT(ADDRESS(ROW(),COLUMN()-1,4))="44122104","Clips para papel",""))</f>
        <v>Clips para papel</v>
      </c>
      <c r="C105" s="32" t="str">
        <f>IFERROR(VLOOKUP("CAJ",'[1]Informacion '!P:Q,2,FALSE),"")</f>
        <v>Caja</v>
      </c>
      <c r="D105" s="30">
        <v>50</v>
      </c>
      <c r="E105" s="33">
        <v>20</v>
      </c>
      <c r="F105" s="34">
        <f t="shared" ca="1" si="0"/>
        <v>1000</v>
      </c>
      <c r="G105" s="21"/>
    </row>
    <row r="106" spans="1:7" ht="16.5" x14ac:dyDescent="0.25">
      <c r="A106" s="30" t="s">
        <v>78</v>
      </c>
      <c r="B106" s="31" t="str">
        <f ca="1">IFERROR(INDEX(UNSPSCDes,MATCH(INDIRECT(ADDRESS(ROW(),COLUMN()-1,4)),UNSPSCCode,0)),IF(INDIRECT(ADDRESS(ROW(),COLUMN()-1,4))="44122104","Clips para papel",""))</f>
        <v>Clips para papel</v>
      </c>
      <c r="C106" s="32" t="str">
        <f>IFERROR(VLOOKUP("CAJ",'[1]Informacion '!P:Q,2,FALSE),"")</f>
        <v>Caja</v>
      </c>
      <c r="D106" s="30">
        <v>70</v>
      </c>
      <c r="E106" s="33">
        <v>15</v>
      </c>
      <c r="F106" s="34">
        <f t="shared" ca="1" si="0"/>
        <v>1050</v>
      </c>
      <c r="G106" s="21"/>
    </row>
    <row r="107" spans="1:7" ht="16.5" x14ac:dyDescent="0.25">
      <c r="A107" s="30" t="s">
        <v>78</v>
      </c>
      <c r="B107" s="31" t="str">
        <f ca="1">IFERROR(INDEX(UNSPSCDes,MATCH(INDIRECT(ADDRESS(ROW(),COLUMN()-1,4)),UNSPSCCode,0)),IF(INDIRECT(ADDRESS(ROW(),COLUMN()-1,4))="44122104","Clips para papel",""))</f>
        <v>Clips para papel</v>
      </c>
      <c r="C107" s="32" t="str">
        <f>IFERROR(VLOOKUP("CAJ",'[1]Informacion '!P:Q,2,FALSE),"")</f>
        <v>Caja</v>
      </c>
      <c r="D107" s="30">
        <v>50</v>
      </c>
      <c r="E107" s="33">
        <v>30</v>
      </c>
      <c r="F107" s="34">
        <f t="shared" ca="1" si="0"/>
        <v>1500</v>
      </c>
      <c r="G107" s="21"/>
    </row>
    <row r="108" spans="1:7" ht="22.5" x14ac:dyDescent="0.25">
      <c r="A108" s="30" t="s">
        <v>79</v>
      </c>
      <c r="B108" s="31" t="str">
        <f ca="1">IFERROR(INDEX(UNSPSCDes,MATCH(INDIRECT(ADDRESS(ROW(),COLUMN()-1,4)),UNSPSCCode,0)),IF(INDIRECT(ADDRESS(ROW(),COLUMN()-1,4))="43201811","Disco versátil digital dvd de lectura y escritura",""))</f>
        <v>Disco versátil digital dvd de lectura y escritura</v>
      </c>
      <c r="C108" s="32" t="str">
        <f>IFERROR(VLOOKUP("UD",'[1]Informacion '!P:Q,2,FALSE),"")</f>
        <v>Unidad</v>
      </c>
      <c r="D108" s="30">
        <v>70</v>
      </c>
      <c r="E108" s="33">
        <v>15</v>
      </c>
      <c r="F108" s="34">
        <f t="shared" ca="1" si="0"/>
        <v>1050</v>
      </c>
      <c r="G108" s="21"/>
    </row>
    <row r="109" spans="1:7" ht="16.5" x14ac:dyDescent="0.25">
      <c r="A109" s="30" t="s">
        <v>80</v>
      </c>
      <c r="B109" s="31" t="str">
        <f ca="1">IFERROR(INDEX(UNSPSCDes,MATCH(INDIRECT(ADDRESS(ROW(),COLUMN()-1,4)),UNSPSCCode,0)),IF(INDIRECT(ADDRESS(ROW(),COLUMN()-1,4))="44122011","Folders",""))</f>
        <v>Folders</v>
      </c>
      <c r="C109" s="32" t="str">
        <f>IFERROR(VLOOKUP("CAJ",'[1]Informacion '!P:Q,2,FALSE),"")</f>
        <v>Caja</v>
      </c>
      <c r="D109" s="30">
        <v>2</v>
      </c>
      <c r="E109" s="33">
        <v>650</v>
      </c>
      <c r="F109" s="34">
        <f t="shared" ca="1" si="0"/>
        <v>1300</v>
      </c>
      <c r="G109" s="21"/>
    </row>
    <row r="110" spans="1:7" ht="16.5" x14ac:dyDescent="0.25">
      <c r="A110" s="30" t="s">
        <v>80</v>
      </c>
      <c r="B110" s="31" t="str">
        <f ca="1">IFERROR(INDEX(UNSPSCDes,MATCH(INDIRECT(ADDRESS(ROW(),COLUMN()-1,4)),UNSPSCCode,0)),IF(INDIRECT(ADDRESS(ROW(),COLUMN()-1,4))="44122011","Folders",""))</f>
        <v>Folders</v>
      </c>
      <c r="C110" s="32" t="str">
        <f>IFERROR(VLOOKUP("CAJ",'[1]Informacion '!P:Q,2,FALSE),"")</f>
        <v>Caja</v>
      </c>
      <c r="D110" s="30">
        <v>120</v>
      </c>
      <c r="E110" s="33">
        <v>260</v>
      </c>
      <c r="F110" s="34">
        <f t="shared" ca="1" si="0"/>
        <v>31200</v>
      </c>
      <c r="G110" s="21"/>
    </row>
    <row r="111" spans="1:7" ht="16.5" x14ac:dyDescent="0.25">
      <c r="A111" s="30" t="s">
        <v>80</v>
      </c>
      <c r="B111" s="31" t="str">
        <f ca="1">IFERROR(INDEX(UNSPSCDes,MATCH(INDIRECT(ADDRESS(ROW(),COLUMN()-1,4)),UNSPSCCode,0)),IF(INDIRECT(ADDRESS(ROW(),COLUMN()-1,4))="44122011","Folders",""))</f>
        <v>Folders</v>
      </c>
      <c r="C111" s="32" t="str">
        <f>IFERROR(VLOOKUP("CAJ",'[1]Informacion '!P:Q,2,FALSE),"")</f>
        <v>Caja</v>
      </c>
      <c r="D111" s="30">
        <v>10</v>
      </c>
      <c r="E111" s="33">
        <v>400</v>
      </c>
      <c r="F111" s="34">
        <f t="shared" ca="1" si="0"/>
        <v>4000</v>
      </c>
      <c r="G111" s="21"/>
    </row>
    <row r="112" spans="1:7" ht="16.5" x14ac:dyDescent="0.25">
      <c r="A112" s="30" t="s">
        <v>80</v>
      </c>
      <c r="B112" s="31" t="str">
        <f ca="1">IFERROR(INDEX(UNSPSCDes,MATCH(INDIRECT(ADDRESS(ROW(),COLUMN()-1,4)),UNSPSCCode,0)),IF(INDIRECT(ADDRESS(ROW(),COLUMN()-1,4))="44122011","Folders",""))</f>
        <v>Folders</v>
      </c>
      <c r="C112" s="32" t="str">
        <f>IFERROR(VLOOKUP("CAJ",'[1]Informacion '!P:Q,2,FALSE),"")</f>
        <v>Caja</v>
      </c>
      <c r="D112" s="30">
        <v>5</v>
      </c>
      <c r="E112" s="33">
        <v>1200</v>
      </c>
      <c r="F112" s="34">
        <f t="shared" ca="1" si="0"/>
        <v>6000</v>
      </c>
      <c r="G112" s="21"/>
    </row>
    <row r="113" spans="1:7" ht="16.5" x14ac:dyDescent="0.25">
      <c r="A113" s="30" t="s">
        <v>81</v>
      </c>
      <c r="B113" s="31" t="str">
        <f ca="1">IFERROR(INDEX(UNSPSCDes,MATCH(INDIRECT(ADDRESS(ROW(),COLUMN()-1,4)),UNSPSCCode,0)),IF(INDIRECT(ADDRESS(ROW(),COLUMN()-1,4))="44121611","Punzones para papel u ojales",""))</f>
        <v>Punzones para papel u ojales</v>
      </c>
      <c r="C113" s="32" t="str">
        <f>IFERROR(VLOOKUP("CAJ",'[1]Informacion '!P:Q,2,FALSE),"")</f>
        <v>Caja</v>
      </c>
      <c r="D113" s="30">
        <v>300</v>
      </c>
      <c r="E113" s="33">
        <v>45</v>
      </c>
      <c r="F113" s="34">
        <f t="shared" ca="1" si="0"/>
        <v>13500</v>
      </c>
      <c r="G113" s="21"/>
    </row>
    <row r="114" spans="1:7" ht="16.5" x14ac:dyDescent="0.25">
      <c r="A114" s="30" t="s">
        <v>82</v>
      </c>
      <c r="B114" s="31" t="str">
        <f ca="1">IFERROR(INDEX(UNSPSCDes,MATCH(INDIRECT(ADDRESS(ROW(),COLUMN()-1,4)),UNSPSCCode,0)),IF(INDIRECT(ADDRESS(ROW(),COLUMN()-1,4))="44122107","Grapas",""))</f>
        <v>Grapas</v>
      </c>
      <c r="C114" s="32" t="str">
        <f>IFERROR(VLOOKUP("CAJ",'[1]Informacion '!P:Q,2,FALSE),"")</f>
        <v>Caja</v>
      </c>
      <c r="D114" s="30">
        <v>150</v>
      </c>
      <c r="E114" s="33">
        <v>35</v>
      </c>
      <c r="F114" s="34">
        <f t="shared" ca="1" si="0"/>
        <v>5250</v>
      </c>
      <c r="G114" s="21"/>
    </row>
    <row r="115" spans="1:7" ht="16.5" x14ac:dyDescent="0.25">
      <c r="A115" s="30" t="s">
        <v>83</v>
      </c>
      <c r="B115" s="31" t="str">
        <f ca="1">IFERROR(INDEX(UNSPSCDes,MATCH(INDIRECT(ADDRESS(ROW(),COLUMN()-1,4)),UNSPSCCode,0)),IF(INDIRECT(ADDRESS(ROW(),COLUMN()-1,4))="44121615","Grapadoras",""))</f>
        <v>Grapadoras</v>
      </c>
      <c r="C115" s="32" t="str">
        <f>IFERROR(VLOOKUP("UD",'[1]Informacion '!P:Q,2,FALSE),"")</f>
        <v>Unidad</v>
      </c>
      <c r="D115" s="30">
        <v>100</v>
      </c>
      <c r="E115" s="33">
        <v>220</v>
      </c>
      <c r="F115" s="34">
        <f t="shared" ca="1" si="0"/>
        <v>22000</v>
      </c>
      <c r="G115" s="21"/>
    </row>
    <row r="116" spans="1:7" ht="16.5" x14ac:dyDescent="0.25">
      <c r="A116" s="30" t="s">
        <v>83</v>
      </c>
      <c r="B116" s="31" t="str">
        <f ca="1">IFERROR(INDEX(UNSPSCDes,MATCH(INDIRECT(ADDRESS(ROW(),COLUMN()-1,4)),UNSPSCCode,0)),IF(INDIRECT(ADDRESS(ROW(),COLUMN()-1,4))="44121615","Grapadoras",""))</f>
        <v>Grapadoras</v>
      </c>
      <c r="C116" s="32" t="str">
        <f>IFERROR(VLOOKUP("UD",'[1]Informacion '!P:Q,2,FALSE),"")</f>
        <v>Unidad</v>
      </c>
      <c r="D116" s="30">
        <v>15</v>
      </c>
      <c r="E116" s="33">
        <v>600</v>
      </c>
      <c r="F116" s="34">
        <f t="shared" ca="1" si="0"/>
        <v>9000</v>
      </c>
      <c r="G116" s="21"/>
    </row>
    <row r="117" spans="1:7" ht="16.5" x14ac:dyDescent="0.25">
      <c r="A117" s="30" t="s">
        <v>84</v>
      </c>
      <c r="B117" s="31" t="str">
        <f ca="1">IFERROR(INDEX(UNSPSCDes,MATCH(INDIRECT(ADDRESS(ROW(),COLUMN()-1,4)),UNSPSCCode,0)),IF(INDIRECT(ADDRESS(ROW(),COLUMN()-1,4))="44121701","Bolígrafos",""))</f>
        <v>Bolígrafos</v>
      </c>
      <c r="C117" s="32" t="str">
        <f>IFERROR(VLOOKUP("CAJ",'[1]Informacion '!P:Q,2,FALSE),"")</f>
        <v>Caja</v>
      </c>
      <c r="D117" s="30">
        <v>150</v>
      </c>
      <c r="E117" s="33">
        <v>55</v>
      </c>
      <c r="F117" s="34">
        <f t="shared" ca="1" si="0"/>
        <v>8250</v>
      </c>
      <c r="G117" s="21"/>
    </row>
    <row r="118" spans="1:7" ht="16.5" x14ac:dyDescent="0.25">
      <c r="A118" s="30" t="s">
        <v>85</v>
      </c>
      <c r="B118" s="31" t="str">
        <f ca="1">IFERROR(INDEX(UNSPSCDes,MATCH(INDIRECT(ADDRESS(ROW(),COLUMN()-1,4)),UNSPSCCode,0)),IF(INDIRECT(ADDRESS(ROW(),COLUMN()-1,4))="44121716","Resaltadores",""))</f>
        <v>Resaltadores</v>
      </c>
      <c r="C118" s="32" t="str">
        <f>IFERROR(VLOOKUP("CAJ",'[1]Informacion '!P:Q,2,FALSE),"")</f>
        <v>Caja</v>
      </c>
      <c r="D118" s="30">
        <v>10</v>
      </c>
      <c r="E118" s="33">
        <v>150</v>
      </c>
      <c r="F118" s="34">
        <f t="shared" ca="1" si="0"/>
        <v>1500</v>
      </c>
      <c r="G118" s="21"/>
    </row>
    <row r="119" spans="1:7" ht="16.5" x14ac:dyDescent="0.25">
      <c r="A119" s="30" t="s">
        <v>86</v>
      </c>
      <c r="B119" s="31" t="str">
        <f ca="1">IFERROR(INDEX(UNSPSCDes,MATCH(INDIRECT(ADDRESS(ROW(),COLUMN()-1,4)),UNSPSCCode,0)),IF(INDIRECT(ADDRESS(ROW(),COLUMN()-1,4))="44121708","Marcadores",""))</f>
        <v>Marcadores</v>
      </c>
      <c r="C119" s="32" t="str">
        <f>IFERROR(VLOOKUP("CAJ",'[1]Informacion '!P:Q,2,FALSE),"")</f>
        <v>Caja</v>
      </c>
      <c r="D119" s="30">
        <v>10</v>
      </c>
      <c r="E119" s="33">
        <v>160</v>
      </c>
      <c r="F119" s="34">
        <f t="shared" ca="1" si="0"/>
        <v>1600</v>
      </c>
      <c r="G119" s="21"/>
    </row>
    <row r="120" spans="1:7" ht="16.5" x14ac:dyDescent="0.25">
      <c r="A120" s="30" t="s">
        <v>86</v>
      </c>
      <c r="B120" s="31" t="str">
        <f ca="1">IFERROR(INDEX(UNSPSCDes,MATCH(INDIRECT(ADDRESS(ROW(),COLUMN()-1,4)),UNSPSCCode,0)),IF(INDIRECT(ADDRESS(ROW(),COLUMN()-1,4))="44121708","Marcadores",""))</f>
        <v>Marcadores</v>
      </c>
      <c r="C120" s="32" t="str">
        <f>IFERROR(VLOOKUP("CAJ",'[1]Informacion '!P:Q,2,FALSE),"")</f>
        <v>Caja</v>
      </c>
      <c r="D120" s="30">
        <v>20</v>
      </c>
      <c r="E120" s="33">
        <v>120</v>
      </c>
      <c r="F120" s="34">
        <f t="shared" ca="1" si="0"/>
        <v>2400</v>
      </c>
      <c r="G120" s="21"/>
    </row>
    <row r="121" spans="1:7" ht="16.5" x14ac:dyDescent="0.25">
      <c r="A121" s="30" t="s">
        <v>86</v>
      </c>
      <c r="B121" s="31" t="str">
        <f ca="1">IFERROR(INDEX(UNSPSCDes,MATCH(INDIRECT(ADDRESS(ROW(),COLUMN()-1,4)),UNSPSCCode,0)),IF(INDIRECT(ADDRESS(ROW(),COLUMN()-1,4))="44121708","Marcadores",""))</f>
        <v>Marcadores</v>
      </c>
      <c r="C121" s="32" t="str">
        <f>IFERROR(VLOOKUP("CAJ",'[1]Informacion '!P:Q,2,FALSE),"")</f>
        <v>Caja</v>
      </c>
      <c r="D121" s="30">
        <v>20</v>
      </c>
      <c r="E121" s="33">
        <v>120</v>
      </c>
      <c r="F121" s="34">
        <f t="shared" ca="1" si="0"/>
        <v>2400</v>
      </c>
      <c r="G121" s="21"/>
    </row>
    <row r="122" spans="1:7" ht="16.5" x14ac:dyDescent="0.25">
      <c r="A122" s="30" t="s">
        <v>87</v>
      </c>
      <c r="B122" s="31" t="str">
        <f ca="1">IFERROR(INDEX(UNSPSCDes,MATCH(INDIRECT(ADDRESS(ROW(),COLUMN()-1,4)),UNSPSCCode,0)),IF(INDIRECT(ADDRESS(ROW(),COLUMN()-1,4))="44122017","Folders de colgar o accesorios",""))</f>
        <v>Folders de colgar o accesorios</v>
      </c>
      <c r="C122" s="32" t="str">
        <f>IFERROR(VLOOKUP("CAJ",'[1]Informacion '!P:Q,2,FALSE),"")</f>
        <v>Caja</v>
      </c>
      <c r="D122" s="30">
        <v>45</v>
      </c>
      <c r="E122" s="33">
        <v>400</v>
      </c>
      <c r="F122" s="34">
        <f t="shared" ca="1" si="0"/>
        <v>18000</v>
      </c>
      <c r="G122" s="21"/>
    </row>
    <row r="123" spans="1:7" ht="16.5" x14ac:dyDescent="0.25">
      <c r="A123" s="30" t="s">
        <v>87</v>
      </c>
      <c r="B123" s="31" t="str">
        <f ca="1">IFERROR(INDEX(UNSPSCDes,MATCH(INDIRECT(ADDRESS(ROW(),COLUMN()-1,4)),UNSPSCCode,0)),IF(INDIRECT(ADDRESS(ROW(),COLUMN()-1,4))="44122017","Folders de colgar o accesorios",""))</f>
        <v>Folders de colgar o accesorios</v>
      </c>
      <c r="C123" s="32" t="str">
        <f>IFERROR(VLOOKUP("CAJ",'[1]Informacion '!P:Q,2,FALSE),"")</f>
        <v>Caja</v>
      </c>
      <c r="D123" s="30">
        <v>50</v>
      </c>
      <c r="E123" s="33">
        <v>400</v>
      </c>
      <c r="F123" s="34">
        <f t="shared" ca="1" si="0"/>
        <v>20000</v>
      </c>
      <c r="G123" s="21"/>
    </row>
    <row r="124" spans="1:7" ht="16.5" x14ac:dyDescent="0.25">
      <c r="A124" s="30" t="s">
        <v>88</v>
      </c>
      <c r="B124" s="31" t="str">
        <f ca="1">IFERROR(INDEX(UNSPSCDes,MATCH(INDIRECT(ADDRESS(ROW(),COLUMN()-1,4)),UNSPSCCode,0)),IF(INDIRECT(ADDRESS(ROW(),COLUMN()-1,4))="44101602","Máquinas perforadoras o para unir papel",""))</f>
        <v>Máquinas perforadoras o para unir papel</v>
      </c>
      <c r="C124" s="32" t="str">
        <f>IFERROR(VLOOKUP("UD",'[1]Informacion '!P:Q,2,FALSE),"")</f>
        <v>Unidad</v>
      </c>
      <c r="D124" s="30">
        <v>80</v>
      </c>
      <c r="E124" s="33">
        <v>170</v>
      </c>
      <c r="F124" s="34">
        <f t="shared" ca="1" si="0"/>
        <v>13600</v>
      </c>
      <c r="G124" s="21"/>
    </row>
    <row r="125" spans="1:7" ht="16.5" x14ac:dyDescent="0.25">
      <c r="A125" s="30" t="s">
        <v>88</v>
      </c>
      <c r="B125" s="31" t="str">
        <f ca="1">IFERROR(INDEX(UNSPSCDes,MATCH(INDIRECT(ADDRESS(ROW(),COLUMN()-1,4)),UNSPSCCode,0)),IF(INDIRECT(ADDRESS(ROW(),COLUMN()-1,4))="44101602","Máquinas perforadoras o para unir papel",""))</f>
        <v>Máquinas perforadoras o para unir papel</v>
      </c>
      <c r="C125" s="32" t="str">
        <f>IFERROR(VLOOKUP("UD",'[1]Informacion '!P:Q,2,FALSE),"")</f>
        <v>Unidad</v>
      </c>
      <c r="D125" s="30">
        <v>15</v>
      </c>
      <c r="E125" s="33">
        <v>215</v>
      </c>
      <c r="F125" s="34">
        <f t="shared" ca="1" si="0"/>
        <v>3225</v>
      </c>
      <c r="G125" s="21"/>
    </row>
    <row r="126" spans="1:7" ht="16.5" x14ac:dyDescent="0.25">
      <c r="A126" s="30" t="s">
        <v>85</v>
      </c>
      <c r="B126" s="31" t="str">
        <f ca="1">IFERROR(INDEX(UNSPSCDes,MATCH(INDIRECT(ADDRESS(ROW(),COLUMN()-1,4)),UNSPSCCode,0)),IF(INDIRECT(ADDRESS(ROW(),COLUMN()-1,4))="44121716","Resaltadores",""))</f>
        <v>Resaltadores</v>
      </c>
      <c r="C126" s="32" t="str">
        <f>IFERROR(VLOOKUP("CAJ",'[1]Informacion '!P:Q,2,FALSE),"")</f>
        <v>Caja</v>
      </c>
      <c r="D126" s="30">
        <v>10</v>
      </c>
      <c r="E126" s="33">
        <v>145</v>
      </c>
      <c r="F126" s="34">
        <f t="shared" ca="1" si="0"/>
        <v>1450</v>
      </c>
      <c r="G126" s="21"/>
    </row>
    <row r="127" spans="1:7" ht="16.5" x14ac:dyDescent="0.25">
      <c r="A127" s="30" t="s">
        <v>89</v>
      </c>
      <c r="B127" s="31" t="str">
        <f ca="1">IFERROR(INDEX(UNSPSCDes,MATCH(INDIRECT(ADDRESS(ROW(),COLUMN()-1,4)),UNSPSCCode,0)),IF(INDIRECT(ADDRESS(ROW(),COLUMN()-1,4))="44121613","Removedores de grapas (saca ganchos)",""))</f>
        <v>Removedores de grapas (saca ganchos)</v>
      </c>
      <c r="C127" s="32" t="str">
        <f>IFERROR(VLOOKUP("UD",'[1]Informacion '!P:Q,2,FALSE),"")</f>
        <v>Unidad</v>
      </c>
      <c r="D127" s="30">
        <v>50</v>
      </c>
      <c r="E127" s="33">
        <v>25</v>
      </c>
      <c r="F127" s="34">
        <f t="shared" ca="1" si="0"/>
        <v>1250</v>
      </c>
      <c r="G127" s="21"/>
    </row>
    <row r="128" spans="1:7" ht="16.5" x14ac:dyDescent="0.25">
      <c r="A128" s="30" t="s">
        <v>90</v>
      </c>
      <c r="B128" s="31" t="str">
        <f ca="1">IFERROR(INDEX(UNSPSCDes,MATCH(INDIRECT(ADDRESS(ROW(),COLUMN()-1,4)),UNSPSCCode,0)),IF(INDIRECT(ADDRESS(ROW(),COLUMN()-1,4))="44121619","Tajalápices manuales",""))</f>
        <v>Tajalápices manuales</v>
      </c>
      <c r="C128" s="32" t="str">
        <f>IFERROR(VLOOKUP("UD",'[1]Informacion '!P:Q,2,FALSE),"")</f>
        <v>Unidad</v>
      </c>
      <c r="D128" s="30">
        <v>50</v>
      </c>
      <c r="E128" s="33">
        <v>6</v>
      </c>
      <c r="F128" s="34">
        <f t="shared" ca="1" si="0"/>
        <v>300</v>
      </c>
      <c r="G128" s="21"/>
    </row>
    <row r="129" spans="1:7" ht="16.5" x14ac:dyDescent="0.25">
      <c r="A129" s="30" t="s">
        <v>91</v>
      </c>
      <c r="B129" s="31" t="str">
        <f ca="1">IFERROR(INDEX(UNSPSCDes,MATCH(INDIRECT(ADDRESS(ROW(),COLUMN()-1,4)),UNSPSCCode,0)),IF(INDIRECT(ADDRESS(ROW(),COLUMN()-1,4))="44121503","Sobres",""))</f>
        <v>Sobres</v>
      </c>
      <c r="C129" s="32" t="str">
        <f>IFERROR(VLOOKUP("CAJ",'[1]Informacion '!P:Q,2,FALSE),"")</f>
        <v>Caja</v>
      </c>
      <c r="D129" s="30">
        <v>7</v>
      </c>
      <c r="E129" s="33">
        <v>500</v>
      </c>
      <c r="F129" s="34">
        <f t="shared" ca="1" si="0"/>
        <v>3500</v>
      </c>
      <c r="G129" s="21"/>
    </row>
    <row r="130" spans="1:7" ht="16.5" x14ac:dyDescent="0.25">
      <c r="A130" s="30" t="s">
        <v>91</v>
      </c>
      <c r="B130" s="31" t="str">
        <f ca="1">IFERROR(INDEX(UNSPSCDes,MATCH(INDIRECT(ADDRESS(ROW(),COLUMN()-1,4)),UNSPSCCode,0)),IF(INDIRECT(ADDRESS(ROW(),COLUMN()-1,4))="44121503","Sobres",""))</f>
        <v>Sobres</v>
      </c>
      <c r="C130" s="32" t="str">
        <f>IFERROR(VLOOKUP("CAJ",'[1]Informacion '!P:Q,2,FALSE),"")</f>
        <v>Caja</v>
      </c>
      <c r="D130" s="30">
        <v>15</v>
      </c>
      <c r="E130" s="33">
        <v>1900</v>
      </c>
      <c r="F130" s="34">
        <f t="shared" ca="1" si="0"/>
        <v>28500</v>
      </c>
      <c r="G130" s="21"/>
    </row>
    <row r="131" spans="1:7" ht="16.5" x14ac:dyDescent="0.25">
      <c r="A131" s="30" t="s">
        <v>92</v>
      </c>
      <c r="B131" s="31" t="str">
        <f ca="1">IFERROR(INDEX(UNSPSCDes,MATCH(INDIRECT(ADDRESS(ROW(),COLUMN()-1,4)),UNSPSCCode,0)),IF(INDIRECT(ADDRESS(ROW(),COLUMN()-1,4))="44122016","Sujetador de documentos",""))</f>
        <v>Sujetador de documentos</v>
      </c>
      <c r="C131" s="32" t="str">
        <f>IFERROR(VLOOKUP("UD",'[1]Informacion '!P:Q,2,FALSE),"")</f>
        <v>Unidad</v>
      </c>
      <c r="D131" s="30">
        <v>15</v>
      </c>
      <c r="E131" s="33">
        <v>130</v>
      </c>
      <c r="F131" s="34">
        <f t="shared" ca="1" si="0"/>
        <v>1950</v>
      </c>
      <c r="G131" s="21"/>
    </row>
    <row r="132" spans="1:7" ht="16.5" x14ac:dyDescent="0.25">
      <c r="A132" s="30" t="s">
        <v>93</v>
      </c>
      <c r="B132" s="31" t="str">
        <f ca="1">IFERROR(INDEX(UNSPSCDes,MATCH(INDIRECT(ADDRESS(ROW(),COLUMN()-1,4)),UNSPSCCode,0)),IF(INDIRECT(ADDRESS(ROW(),COLUMN()-1,4))="44121612","Cortadoras de papel o repuestos",""))</f>
        <v>Cortadoras de papel o repuestos</v>
      </c>
      <c r="C132" s="32" t="str">
        <f>IFERROR(VLOOKUP("UD",'[1]Informacion '!P:Q,2,FALSE),"")</f>
        <v>Unidad</v>
      </c>
      <c r="D132" s="30">
        <v>75</v>
      </c>
      <c r="E132" s="33">
        <v>35</v>
      </c>
      <c r="F132" s="34">
        <f t="shared" ca="1" si="0"/>
        <v>2625</v>
      </c>
      <c r="G132" s="21"/>
    </row>
    <row r="133" spans="1:7" ht="16.5" x14ac:dyDescent="0.25">
      <c r="A133" s="30" t="s">
        <v>94</v>
      </c>
      <c r="B133" s="31" t="str">
        <f ca="1">IFERROR(INDEX(UNSPSCDes,MATCH(INDIRECT(ADDRESS(ROW(),COLUMN()-1,4)),UNSPSCCode,0)),IF(INDIRECT(ADDRESS(ROW(),COLUMN()-1,4))="44121904","Repuestos de tinta",""))</f>
        <v>Repuestos de tinta</v>
      </c>
      <c r="C133" s="32" t="str">
        <f>IFERROR(VLOOKUP("UD",'[1]Informacion '!P:Q,2,FALSE),"")</f>
        <v>Unidad</v>
      </c>
      <c r="D133" s="30">
        <v>15</v>
      </c>
      <c r="E133" s="33">
        <v>230</v>
      </c>
      <c r="F133" s="34">
        <f t="shared" ca="1" si="0"/>
        <v>3450</v>
      </c>
      <c r="G133" s="21"/>
    </row>
    <row r="134" spans="1:7" ht="22.5" x14ac:dyDescent="0.25">
      <c r="A134" s="30" t="s">
        <v>95</v>
      </c>
      <c r="B134" s="31" t="str">
        <f ca="1">IFERROR(INDEX(UNSPSCDes,MATCH(INDIRECT(ADDRESS(ROW(),COLUMN()-1,4)),UNSPSCCode,0)),IF(INDIRECT(ADDRESS(ROW(),COLUMN()-1,4))="55121802","Tarjetas o bandas de identificación o productos similares",""))</f>
        <v>Tarjetas o bandas de identificación o productos similares</v>
      </c>
      <c r="C134" s="32" t="str">
        <f>IFERROR(VLOOKUP("CAJ",'[1]Informacion '!P:Q,2,FALSE),"")</f>
        <v>Caja</v>
      </c>
      <c r="D134" s="30">
        <v>2</v>
      </c>
      <c r="E134" s="33">
        <v>3000</v>
      </c>
      <c r="F134" s="34">
        <f t="shared" ca="1" si="0"/>
        <v>6000</v>
      </c>
      <c r="G134" s="21"/>
    </row>
    <row r="135" spans="1:7" ht="16.5" x14ac:dyDescent="0.25">
      <c r="A135" s="30" t="s">
        <v>96</v>
      </c>
      <c r="B135" s="31" t="str">
        <f ca="1">IFERROR(INDEX(UNSPSCDes,MATCH(INDIRECT(ADDRESS(ROW(),COLUMN()-1,4)),UNSPSCCode,0)),IF(INDIRECT(ADDRESS(ROW(),COLUMN()-1,4))="55121616","Banderas auto adhesivas",""))</f>
        <v>Banderas auto adhesivas</v>
      </c>
      <c r="C135" s="32" t="str">
        <f>IFERROR(VLOOKUP("PAQ",'[1]Informacion '!P:Q,2,FALSE),"")</f>
        <v>Paquete</v>
      </c>
      <c r="D135" s="30">
        <v>10</v>
      </c>
      <c r="E135" s="33">
        <v>55</v>
      </c>
      <c r="F135" s="34">
        <f t="shared" ca="1" si="0"/>
        <v>550</v>
      </c>
      <c r="G135" s="21"/>
    </row>
    <row r="136" spans="1:7" ht="16.5" x14ac:dyDescent="0.25">
      <c r="A136" s="21"/>
      <c r="B136" s="21"/>
      <c r="C136" s="21"/>
      <c r="D136" s="21"/>
      <c r="E136" s="35" t="s">
        <v>48</v>
      </c>
      <c r="F136" s="36">
        <f ca="1">SUM(Table10[MONTO TOTAL ESTIMADO])</f>
        <v>583800</v>
      </c>
      <c r="G136" s="21"/>
    </row>
    <row r="137" spans="1:7" ht="17.25" thickBot="1" x14ac:dyDescent="0.3">
      <c r="A137" s="21"/>
      <c r="B137" s="21"/>
      <c r="C137" s="21"/>
      <c r="D137" s="21"/>
      <c r="E137" s="21"/>
      <c r="F137" s="21"/>
      <c r="G137" s="21"/>
    </row>
    <row r="138" spans="1:7" ht="23.25" thickBot="1" x14ac:dyDescent="0.3">
      <c r="A138" s="22" t="s">
        <v>19</v>
      </c>
      <c r="B138" s="22" t="s">
        <v>20</v>
      </c>
      <c r="C138" s="22" t="s">
        <v>21</v>
      </c>
      <c r="D138" s="22" t="s">
        <v>22</v>
      </c>
      <c r="E138" s="22" t="s">
        <v>23</v>
      </c>
      <c r="F138" s="22" t="s">
        <v>24</v>
      </c>
      <c r="G138" s="21"/>
    </row>
    <row r="139" spans="1:7" ht="17.25" thickBot="1" x14ac:dyDescent="0.3">
      <c r="A139" s="23" t="s">
        <v>97</v>
      </c>
      <c r="B139" s="23" t="s">
        <v>98</v>
      </c>
      <c r="C139" s="23" t="s">
        <v>54</v>
      </c>
      <c r="D139" s="23" t="s">
        <v>28</v>
      </c>
      <c r="E139" s="23" t="s">
        <v>29</v>
      </c>
      <c r="F139" s="23"/>
      <c r="G139" s="21"/>
    </row>
    <row r="140" spans="1:7" ht="17.25" thickBot="1" x14ac:dyDescent="0.3">
      <c r="A140" s="43" t="s">
        <v>30</v>
      </c>
      <c r="B140" s="24" t="s">
        <v>31</v>
      </c>
      <c r="C140" s="25">
        <v>44656</v>
      </c>
      <c r="D140" s="43" t="s">
        <v>32</v>
      </c>
      <c r="E140" s="26" t="s">
        <v>33</v>
      </c>
      <c r="F140" s="27" t="s">
        <v>34</v>
      </c>
      <c r="G140" s="21"/>
    </row>
    <row r="141" spans="1:7" ht="17.25" thickBot="1" x14ac:dyDescent="0.3">
      <c r="A141" s="44"/>
      <c r="B141" s="24" t="s">
        <v>35</v>
      </c>
      <c r="C141" s="28">
        <f>IF(C140="","",IF(AND(MONTH(C140)&gt;=1,MONTH(C140)&lt;=3),1,IF(AND(MONTH(C140)&gt;=4,MONTH(C140)&lt;=6),2,IF(AND(MONTH(C140)&gt;=7,MONTH(C140)&lt;=9),3,4))))</f>
        <v>2</v>
      </c>
      <c r="D141" s="44"/>
      <c r="E141" s="26" t="s">
        <v>36</v>
      </c>
      <c r="F141" s="27" t="s">
        <v>37</v>
      </c>
      <c r="G141" s="21"/>
    </row>
    <row r="142" spans="1:7" ht="17.25" thickBot="1" x14ac:dyDescent="0.3">
      <c r="A142" s="44"/>
      <c r="B142" s="24" t="s">
        <v>38</v>
      </c>
      <c r="C142" s="25">
        <v>44664</v>
      </c>
      <c r="D142" s="44"/>
      <c r="E142" s="26" t="s">
        <v>39</v>
      </c>
      <c r="F142" s="27"/>
      <c r="G142" s="21"/>
    </row>
    <row r="143" spans="1:7" ht="17.25" thickBot="1" x14ac:dyDescent="0.3">
      <c r="A143" s="44"/>
      <c r="B143" s="24" t="s">
        <v>35</v>
      </c>
      <c r="C143" s="28">
        <f>IF(C142="","",IF(AND(MONTH(C142)&gt;=1,MONTH(C142)&lt;=3),1,IF(AND(MONTH(C142)&gt;=4,MONTH(C142)&lt;=6),2,IF(AND(MONTH(C142)&gt;=7,MONTH(C142)&lt;=9),3,4))))</f>
        <v>2</v>
      </c>
      <c r="D143" s="44"/>
      <c r="E143" s="26" t="s">
        <v>40</v>
      </c>
      <c r="F143" s="27"/>
      <c r="G143" s="21"/>
    </row>
    <row r="144" spans="1:7" ht="17.25" thickBot="1" x14ac:dyDescent="0.3">
      <c r="A144" s="21"/>
      <c r="B144" s="21"/>
      <c r="C144" s="21"/>
      <c r="D144" s="21"/>
      <c r="E144" s="21"/>
      <c r="F144" s="21"/>
      <c r="G144" s="21"/>
    </row>
    <row r="145" spans="1:7" ht="17.25" thickBot="1" x14ac:dyDescent="0.3">
      <c r="A145" s="29" t="s">
        <v>41</v>
      </c>
      <c r="B145" s="29" t="s">
        <v>42</v>
      </c>
      <c r="C145" s="29" t="s">
        <v>43</v>
      </c>
      <c r="D145" s="29" t="s">
        <v>44</v>
      </c>
      <c r="E145" s="29" t="s">
        <v>45</v>
      </c>
      <c r="F145" s="29" t="s">
        <v>46</v>
      </c>
      <c r="G145" s="21"/>
    </row>
    <row r="146" spans="1:7" ht="16.5" x14ac:dyDescent="0.25">
      <c r="A146" s="30" t="s">
        <v>99</v>
      </c>
      <c r="B146" s="31" t="str">
        <f t="shared" ref="B146:B160" ca="1" si="1">IFERROR(INDEX(UNSPSCDes,MATCH(INDIRECT(ADDRESS(ROW(),COLUMN()-1,4)),UNSPSCCode,0)),IF(INDIRECT(ADDRESS(ROW(),COLUMN()-1,4))="44103103","Tóner para impresoras o fax",""))</f>
        <v>Tóner para impresoras o fax</v>
      </c>
      <c r="C146" s="32" t="str">
        <f>IFERROR(VLOOKUP("UD",'[1]Informacion '!P:Q,2,FALSE),"")</f>
        <v>Unidad</v>
      </c>
      <c r="D146" s="30">
        <v>5</v>
      </c>
      <c r="E146" s="33">
        <v>6550</v>
      </c>
      <c r="F146" s="34">
        <f t="shared" ref="F146:F161" ca="1" si="2">INDIRECT(ADDRESS(ROW(),COLUMN()-2,4))*INDIRECT(ADDRESS(ROW(),COLUMN()-1,4))</f>
        <v>32750</v>
      </c>
      <c r="G146" s="21"/>
    </row>
    <row r="147" spans="1:7" ht="16.5" x14ac:dyDescent="0.25">
      <c r="A147" s="30" t="s">
        <v>99</v>
      </c>
      <c r="B147" s="31" t="str">
        <f t="shared" ca="1" si="1"/>
        <v>Tóner para impresoras o fax</v>
      </c>
      <c r="C147" s="32" t="str">
        <f>IFERROR(VLOOKUP("UD",'[1]Informacion '!P:Q,2,FALSE),"")</f>
        <v>Unidad</v>
      </c>
      <c r="D147" s="30">
        <v>15</v>
      </c>
      <c r="E147" s="33">
        <v>6500</v>
      </c>
      <c r="F147" s="34">
        <f t="shared" ca="1" si="2"/>
        <v>97500</v>
      </c>
      <c r="G147" s="21"/>
    </row>
    <row r="148" spans="1:7" ht="16.5" x14ac:dyDescent="0.25">
      <c r="A148" s="30" t="s">
        <v>99</v>
      </c>
      <c r="B148" s="31" t="str">
        <f t="shared" ca="1" si="1"/>
        <v>Tóner para impresoras o fax</v>
      </c>
      <c r="C148" s="32" t="str">
        <f>IFERROR(VLOOKUP("UD",'[1]Informacion '!P:Q,2,FALSE),"")</f>
        <v>Unidad</v>
      </c>
      <c r="D148" s="30">
        <v>9</v>
      </c>
      <c r="E148" s="33">
        <v>8990</v>
      </c>
      <c r="F148" s="34">
        <f t="shared" ca="1" si="2"/>
        <v>80910</v>
      </c>
      <c r="G148" s="21"/>
    </row>
    <row r="149" spans="1:7" ht="16.5" x14ac:dyDescent="0.25">
      <c r="A149" s="30" t="s">
        <v>99</v>
      </c>
      <c r="B149" s="31" t="str">
        <f t="shared" ca="1" si="1"/>
        <v>Tóner para impresoras o fax</v>
      </c>
      <c r="C149" s="32" t="str">
        <f>IFERROR(VLOOKUP("UD",'[1]Informacion '!P:Q,2,FALSE),"")</f>
        <v>Unidad</v>
      </c>
      <c r="D149" s="30">
        <v>9</v>
      </c>
      <c r="E149" s="33">
        <v>8990</v>
      </c>
      <c r="F149" s="34">
        <f t="shared" ca="1" si="2"/>
        <v>80910</v>
      </c>
      <c r="G149" s="21"/>
    </row>
    <row r="150" spans="1:7" ht="16.5" x14ac:dyDescent="0.25">
      <c r="A150" s="30" t="s">
        <v>99</v>
      </c>
      <c r="B150" s="31" t="str">
        <f t="shared" ca="1" si="1"/>
        <v>Tóner para impresoras o fax</v>
      </c>
      <c r="C150" s="32" t="str">
        <f>IFERROR(VLOOKUP("UD",'[1]Informacion '!P:Q,2,FALSE),"")</f>
        <v>Unidad</v>
      </c>
      <c r="D150" s="30">
        <v>9</v>
      </c>
      <c r="E150" s="33">
        <v>8990</v>
      </c>
      <c r="F150" s="34">
        <f t="shared" ca="1" si="2"/>
        <v>80910</v>
      </c>
      <c r="G150" s="21"/>
    </row>
    <row r="151" spans="1:7" ht="16.5" x14ac:dyDescent="0.25">
      <c r="A151" s="30" t="s">
        <v>99</v>
      </c>
      <c r="B151" s="31" t="str">
        <f t="shared" ca="1" si="1"/>
        <v>Tóner para impresoras o fax</v>
      </c>
      <c r="C151" s="32" t="str">
        <f>IFERROR(VLOOKUP("UD",'[1]Informacion '!P:Q,2,FALSE),"")</f>
        <v>Unidad</v>
      </c>
      <c r="D151" s="30">
        <v>10</v>
      </c>
      <c r="E151" s="33">
        <v>5600</v>
      </c>
      <c r="F151" s="34">
        <f t="shared" ca="1" si="2"/>
        <v>56000</v>
      </c>
      <c r="G151" s="21"/>
    </row>
    <row r="152" spans="1:7" ht="16.5" x14ac:dyDescent="0.25">
      <c r="A152" s="30" t="s">
        <v>99</v>
      </c>
      <c r="B152" s="31" t="str">
        <f t="shared" ca="1" si="1"/>
        <v>Tóner para impresoras o fax</v>
      </c>
      <c r="C152" s="32" t="str">
        <f>IFERROR(VLOOKUP("UD",'[1]Informacion '!P:Q,2,FALSE),"")</f>
        <v>Unidad</v>
      </c>
      <c r="D152" s="30">
        <v>5</v>
      </c>
      <c r="E152" s="33">
        <v>7990</v>
      </c>
      <c r="F152" s="34">
        <f t="shared" ca="1" si="2"/>
        <v>39950</v>
      </c>
      <c r="G152" s="21"/>
    </row>
    <row r="153" spans="1:7" ht="16.5" x14ac:dyDescent="0.25">
      <c r="A153" s="30" t="s">
        <v>99</v>
      </c>
      <c r="B153" s="31" t="str">
        <f t="shared" ca="1" si="1"/>
        <v>Tóner para impresoras o fax</v>
      </c>
      <c r="C153" s="32" t="str">
        <f>IFERROR(VLOOKUP("UD",'[1]Informacion '!P:Q,2,FALSE),"")</f>
        <v>Unidad</v>
      </c>
      <c r="D153" s="30">
        <v>5</v>
      </c>
      <c r="E153" s="33">
        <v>7990</v>
      </c>
      <c r="F153" s="34">
        <f t="shared" ca="1" si="2"/>
        <v>39950</v>
      </c>
      <c r="G153" s="21"/>
    </row>
    <row r="154" spans="1:7" ht="16.5" x14ac:dyDescent="0.25">
      <c r="A154" s="30" t="s">
        <v>99</v>
      </c>
      <c r="B154" s="31" t="str">
        <f t="shared" ca="1" si="1"/>
        <v>Tóner para impresoras o fax</v>
      </c>
      <c r="C154" s="32" t="str">
        <f>IFERROR(VLOOKUP("UD",'[1]Informacion '!P:Q,2,FALSE),"")</f>
        <v>Unidad</v>
      </c>
      <c r="D154" s="30">
        <v>5</v>
      </c>
      <c r="E154" s="33">
        <v>7990</v>
      </c>
      <c r="F154" s="34">
        <f t="shared" ca="1" si="2"/>
        <v>39950</v>
      </c>
      <c r="G154" s="21"/>
    </row>
    <row r="155" spans="1:7" ht="16.5" x14ac:dyDescent="0.25">
      <c r="A155" s="30" t="s">
        <v>99</v>
      </c>
      <c r="B155" s="31" t="str">
        <f t="shared" ca="1" si="1"/>
        <v>Tóner para impresoras o fax</v>
      </c>
      <c r="C155" s="32" t="str">
        <f>IFERROR(VLOOKUP("UD",'[1]Informacion '!P:Q,2,FALSE),"")</f>
        <v>Unidad</v>
      </c>
      <c r="D155" s="30">
        <v>5</v>
      </c>
      <c r="E155" s="33">
        <v>13300</v>
      </c>
      <c r="F155" s="34">
        <f t="shared" ca="1" si="2"/>
        <v>66500</v>
      </c>
      <c r="G155" s="21"/>
    </row>
    <row r="156" spans="1:7" ht="16.5" x14ac:dyDescent="0.25">
      <c r="A156" s="30" t="s">
        <v>99</v>
      </c>
      <c r="B156" s="31" t="str">
        <f t="shared" ca="1" si="1"/>
        <v>Tóner para impresoras o fax</v>
      </c>
      <c r="C156" s="32" t="str">
        <f>IFERROR(VLOOKUP("UD",'[1]Informacion '!P:Q,2,FALSE),"")</f>
        <v>Unidad</v>
      </c>
      <c r="D156" s="30">
        <v>5</v>
      </c>
      <c r="E156" s="33">
        <v>5950</v>
      </c>
      <c r="F156" s="34">
        <f t="shared" ca="1" si="2"/>
        <v>29750</v>
      </c>
      <c r="G156" s="21"/>
    </row>
    <row r="157" spans="1:7" ht="16.5" x14ac:dyDescent="0.25">
      <c r="A157" s="30" t="s">
        <v>99</v>
      </c>
      <c r="B157" s="31" t="str">
        <f t="shared" ca="1" si="1"/>
        <v>Tóner para impresoras o fax</v>
      </c>
      <c r="C157" s="32" t="str">
        <f>IFERROR(VLOOKUP("UD",'[1]Informacion '!P:Q,2,FALSE),"")</f>
        <v>Unidad</v>
      </c>
      <c r="D157" s="30">
        <v>5</v>
      </c>
      <c r="E157" s="33">
        <v>8350</v>
      </c>
      <c r="F157" s="34">
        <f t="shared" ca="1" si="2"/>
        <v>41750</v>
      </c>
      <c r="G157" s="21"/>
    </row>
    <row r="158" spans="1:7" ht="16.5" x14ac:dyDescent="0.25">
      <c r="A158" s="30" t="s">
        <v>99</v>
      </c>
      <c r="B158" s="31" t="str">
        <f t="shared" ca="1" si="1"/>
        <v>Tóner para impresoras o fax</v>
      </c>
      <c r="C158" s="32" t="str">
        <f>IFERROR(VLOOKUP("UD",'[1]Informacion '!P:Q,2,FALSE),"")</f>
        <v>Unidad</v>
      </c>
      <c r="D158" s="30">
        <v>5</v>
      </c>
      <c r="E158" s="33">
        <v>8300</v>
      </c>
      <c r="F158" s="34">
        <f t="shared" ca="1" si="2"/>
        <v>41500</v>
      </c>
      <c r="G158" s="21"/>
    </row>
    <row r="159" spans="1:7" ht="16.5" x14ac:dyDescent="0.25">
      <c r="A159" s="30" t="s">
        <v>99</v>
      </c>
      <c r="B159" s="31" t="str">
        <f t="shared" ca="1" si="1"/>
        <v>Tóner para impresoras o fax</v>
      </c>
      <c r="C159" s="32" t="str">
        <f>IFERROR(VLOOKUP("UD",'[1]Informacion '!P:Q,2,FALSE),"")</f>
        <v>Unidad</v>
      </c>
      <c r="D159" s="30">
        <v>5</v>
      </c>
      <c r="E159" s="33">
        <v>8250</v>
      </c>
      <c r="F159" s="34">
        <f t="shared" ca="1" si="2"/>
        <v>41250</v>
      </c>
      <c r="G159" s="21"/>
    </row>
    <row r="160" spans="1:7" ht="16.5" x14ac:dyDescent="0.25">
      <c r="A160" s="30" t="s">
        <v>99</v>
      </c>
      <c r="B160" s="31" t="str">
        <f t="shared" ca="1" si="1"/>
        <v>Tóner para impresoras o fax</v>
      </c>
      <c r="C160" s="32" t="str">
        <f>IFERROR(VLOOKUP("UD",'[1]Informacion '!P:Q,2,FALSE),"")</f>
        <v>Unidad</v>
      </c>
      <c r="D160" s="30">
        <v>5</v>
      </c>
      <c r="E160" s="33">
        <v>8250</v>
      </c>
      <c r="F160" s="34">
        <f t="shared" ca="1" si="2"/>
        <v>41250</v>
      </c>
      <c r="G160" s="21"/>
    </row>
    <row r="161" spans="1:7" ht="16.5" x14ac:dyDescent="0.25">
      <c r="A161" s="30" t="s">
        <v>100</v>
      </c>
      <c r="B161" s="31" t="str">
        <f ca="1">IFERROR(INDEX(UNSPSCDes,MATCH(INDIRECT(ADDRESS(ROW(),COLUMN()-1,4)),UNSPSCCode,0)),IF(INDIRECT(ADDRESS(ROW(),COLUMN()-1,4))="44101801","Calculadoras o accesorios",""))</f>
        <v>Calculadoras o accesorios</v>
      </c>
      <c r="C161" s="32" t="str">
        <f>IFERROR(VLOOKUP("UD",'[1]Informacion '!P:Q,2,FALSE),"")</f>
        <v>Unidad</v>
      </c>
      <c r="D161" s="30">
        <v>2</v>
      </c>
      <c r="E161" s="33">
        <v>1500</v>
      </c>
      <c r="F161" s="34">
        <f t="shared" ca="1" si="2"/>
        <v>3000</v>
      </c>
      <c r="G161" s="21"/>
    </row>
    <row r="162" spans="1:7" ht="16.5" x14ac:dyDescent="0.25">
      <c r="A162" s="21"/>
      <c r="B162" s="21"/>
      <c r="C162" s="21"/>
      <c r="D162" s="21"/>
      <c r="E162" s="35" t="s">
        <v>48</v>
      </c>
      <c r="F162" s="36">
        <f ca="1">SUM(Table11[MONTO TOTAL ESTIMADO])</f>
        <v>813830</v>
      </c>
      <c r="G162" s="21"/>
    </row>
    <row r="163" spans="1:7" ht="17.25" thickBot="1" x14ac:dyDescent="0.3">
      <c r="A163" s="21"/>
      <c r="B163" s="21"/>
      <c r="C163" s="21"/>
      <c r="D163" s="21"/>
      <c r="E163" s="21"/>
      <c r="F163" s="21"/>
      <c r="G163" s="21"/>
    </row>
    <row r="164" spans="1:7" ht="23.25" thickBot="1" x14ac:dyDescent="0.3">
      <c r="A164" s="22" t="s">
        <v>19</v>
      </c>
      <c r="B164" s="22" t="s">
        <v>20</v>
      </c>
      <c r="C164" s="22" t="s">
        <v>21</v>
      </c>
      <c r="D164" s="22" t="s">
        <v>22</v>
      </c>
      <c r="E164" s="22" t="s">
        <v>23</v>
      </c>
      <c r="F164" s="22" t="s">
        <v>24</v>
      </c>
      <c r="G164" s="21"/>
    </row>
    <row r="165" spans="1:7" ht="17.25" thickBot="1" x14ac:dyDescent="0.3">
      <c r="A165" s="23" t="s">
        <v>101</v>
      </c>
      <c r="B165" s="23" t="s">
        <v>102</v>
      </c>
      <c r="C165" s="23" t="s">
        <v>54</v>
      </c>
      <c r="D165" s="23" t="s">
        <v>28</v>
      </c>
      <c r="E165" s="23" t="s">
        <v>29</v>
      </c>
      <c r="F165" s="23"/>
      <c r="G165" s="21"/>
    </row>
    <row r="166" spans="1:7" ht="17.25" thickBot="1" x14ac:dyDescent="0.3">
      <c r="A166" s="43" t="s">
        <v>30</v>
      </c>
      <c r="B166" s="24" t="s">
        <v>31</v>
      </c>
      <c r="C166" s="25">
        <v>44655</v>
      </c>
      <c r="D166" s="43" t="s">
        <v>32</v>
      </c>
      <c r="E166" s="26" t="s">
        <v>33</v>
      </c>
      <c r="F166" s="27" t="s">
        <v>34</v>
      </c>
      <c r="G166" s="21"/>
    </row>
    <row r="167" spans="1:7" ht="17.25" thickBot="1" x14ac:dyDescent="0.3">
      <c r="A167" s="44"/>
      <c r="B167" s="24" t="s">
        <v>35</v>
      </c>
      <c r="C167" s="28">
        <f>IF(C166="","",IF(AND(MONTH(C166)&gt;=1,MONTH(C166)&lt;=3),1,IF(AND(MONTH(C166)&gt;=4,MONTH(C166)&lt;=6),2,IF(AND(MONTH(C166)&gt;=7,MONTH(C166)&lt;=9),3,4))))</f>
        <v>2</v>
      </c>
      <c r="D167" s="44"/>
      <c r="E167" s="26" t="s">
        <v>36</v>
      </c>
      <c r="F167" s="27" t="s">
        <v>37</v>
      </c>
      <c r="G167" s="21"/>
    </row>
    <row r="168" spans="1:7" ht="17.25" thickBot="1" x14ac:dyDescent="0.3">
      <c r="A168" s="44"/>
      <c r="B168" s="24" t="s">
        <v>38</v>
      </c>
      <c r="C168" s="25">
        <v>44663</v>
      </c>
      <c r="D168" s="44"/>
      <c r="E168" s="26" t="s">
        <v>39</v>
      </c>
      <c r="F168" s="27"/>
      <c r="G168" s="21"/>
    </row>
    <row r="169" spans="1:7" ht="17.25" thickBot="1" x14ac:dyDescent="0.3">
      <c r="A169" s="44"/>
      <c r="B169" s="24" t="s">
        <v>35</v>
      </c>
      <c r="C169" s="28">
        <f>IF(C168="","",IF(AND(MONTH(C168)&gt;=1,MONTH(C168)&lt;=3),1,IF(AND(MONTH(C168)&gt;=4,MONTH(C168)&lt;=6),2,IF(AND(MONTH(C168)&gt;=7,MONTH(C168)&lt;=9),3,4))))</f>
        <v>2</v>
      </c>
      <c r="D169" s="44"/>
      <c r="E169" s="26" t="s">
        <v>40</v>
      </c>
      <c r="F169" s="27"/>
      <c r="G169" s="21"/>
    </row>
    <row r="170" spans="1:7" ht="17.25" thickBot="1" x14ac:dyDescent="0.3">
      <c r="A170" s="21"/>
      <c r="B170" s="21"/>
      <c r="C170" s="21"/>
      <c r="D170" s="21"/>
      <c r="E170" s="21"/>
      <c r="F170" s="21"/>
      <c r="G170" s="21"/>
    </row>
    <row r="171" spans="1:7" ht="17.25" thickBot="1" x14ac:dyDescent="0.3">
      <c r="A171" s="29" t="s">
        <v>41</v>
      </c>
      <c r="B171" s="29" t="s">
        <v>42</v>
      </c>
      <c r="C171" s="29" t="s">
        <v>43</v>
      </c>
      <c r="D171" s="29" t="s">
        <v>44</v>
      </c>
      <c r="E171" s="29" t="s">
        <v>45</v>
      </c>
      <c r="F171" s="29" t="s">
        <v>46</v>
      </c>
      <c r="G171" s="21"/>
    </row>
    <row r="172" spans="1:7" ht="16.5" x14ac:dyDescent="0.25">
      <c r="A172" s="30" t="s">
        <v>103</v>
      </c>
      <c r="B172" s="31" t="str">
        <f ca="1">IFERROR(INDEX(UNSPSCDes,MATCH(INDIRECT(ADDRESS(ROW(),COLUMN()-1,4)),UNSPSCCode,0)),IF(INDIRECT(ADDRESS(ROW(),COLUMN()-1,4))="14111704","Papel higiénico",""))</f>
        <v>Papel higiénico</v>
      </c>
      <c r="C172" s="32" t="str">
        <f>IFERROR(VLOOKUP("PAQ",'[1]Informacion '!P:Q,2,FALSE),"")</f>
        <v>Paquete</v>
      </c>
      <c r="D172" s="30">
        <v>119</v>
      </c>
      <c r="E172" s="33">
        <v>600</v>
      </c>
      <c r="F172" s="34">
        <f t="shared" ref="F172:F202" ca="1" si="3">INDIRECT(ADDRESS(ROW(),COLUMN()-2,4))*INDIRECT(ADDRESS(ROW(),COLUMN()-1,4))</f>
        <v>71400</v>
      </c>
      <c r="G172" s="21"/>
    </row>
    <row r="173" spans="1:7" ht="16.5" x14ac:dyDescent="0.25">
      <c r="A173" s="30" t="s">
        <v>104</v>
      </c>
      <c r="B173" s="31" t="str">
        <f ca="1">IFERROR(INDEX(UNSPSCDes,MATCH(INDIRECT(ADDRESS(ROW(),COLUMN()-1,4)),UNSPSCCode,0)),IF(INDIRECT(ADDRESS(ROW(),COLUMN()-1,4))="14111703","Toallas de papel",""))</f>
        <v>Toallas de papel</v>
      </c>
      <c r="C173" s="32" t="str">
        <f>IFERROR(VLOOKUP("PAQ",'[1]Informacion '!P:Q,2,FALSE),"")</f>
        <v>Paquete</v>
      </c>
      <c r="D173" s="30">
        <v>90</v>
      </c>
      <c r="E173" s="33">
        <v>1200</v>
      </c>
      <c r="F173" s="34">
        <f t="shared" ca="1" si="3"/>
        <v>108000</v>
      </c>
      <c r="G173" s="21"/>
    </row>
    <row r="174" spans="1:7" ht="16.5" x14ac:dyDescent="0.25">
      <c r="A174" s="30" t="s">
        <v>105</v>
      </c>
      <c r="B174" s="31" t="str">
        <f ca="1">IFERROR(INDEX(UNSPSCDes,MATCH(INDIRECT(ADDRESS(ROW(),COLUMN()-1,4)),UNSPSCCode,0)),IF(INDIRECT(ADDRESS(ROW(),COLUMN()-1,4))="14111705","Servilletas de papel",""))</f>
        <v>Servilletas de papel</v>
      </c>
      <c r="C174" s="32" t="str">
        <f>IFERROR(VLOOKUP("PAQ",'[1]Informacion '!P:Q,2,FALSE),"")</f>
        <v>Paquete</v>
      </c>
      <c r="D174" s="30">
        <v>104</v>
      </c>
      <c r="E174" s="33">
        <v>1100</v>
      </c>
      <c r="F174" s="34">
        <f t="shared" ca="1" si="3"/>
        <v>114400</v>
      </c>
      <c r="G174" s="21"/>
    </row>
    <row r="175" spans="1:7" ht="16.5" x14ac:dyDescent="0.25">
      <c r="A175" s="30" t="s">
        <v>106</v>
      </c>
      <c r="B175" s="31" t="str">
        <f ca="1">IFERROR(INDEX(UNSPSCDes,MATCH(INDIRECT(ADDRESS(ROW(),COLUMN()-1,4)),UNSPSCCode,0)),IF(INDIRECT(ADDRESS(ROW(),COLUMN()-1,4))="10191509","Insecticidas",""))</f>
        <v>Insecticidas</v>
      </c>
      <c r="C175" s="32" t="str">
        <f>IFERROR(VLOOKUP("UD",'[1]Informacion '!P:Q,2,FALSE),"")</f>
        <v>Unidad</v>
      </c>
      <c r="D175" s="30">
        <v>97</v>
      </c>
      <c r="E175" s="33">
        <v>155</v>
      </c>
      <c r="F175" s="34">
        <f t="shared" ca="1" si="3"/>
        <v>15035</v>
      </c>
      <c r="G175" s="21"/>
    </row>
    <row r="176" spans="1:7" ht="16.5" x14ac:dyDescent="0.25">
      <c r="A176" s="30" t="s">
        <v>107</v>
      </c>
      <c r="B176" s="31" t="str">
        <f ca="1">IFERROR(INDEX(UNSPSCDes,MATCH(INDIRECT(ADDRESS(ROW(),COLUMN()-1,4)),UNSPSCCode,0)),IF(INDIRECT(ADDRESS(ROW(),COLUMN()-1,4))="47131812","Refrescador de aire",""))</f>
        <v>Refrescador de aire</v>
      </c>
      <c r="C176" s="32" t="str">
        <f>IFERROR(VLOOKUP("UD",'[1]Informacion '!P:Q,2,FALSE),"")</f>
        <v>Unidad</v>
      </c>
      <c r="D176" s="30">
        <v>201</v>
      </c>
      <c r="E176" s="33">
        <v>135</v>
      </c>
      <c r="F176" s="34">
        <f t="shared" ca="1" si="3"/>
        <v>27135</v>
      </c>
      <c r="G176" s="21"/>
    </row>
    <row r="177" spans="1:7" ht="16.5" x14ac:dyDescent="0.25">
      <c r="A177" s="30" t="s">
        <v>108</v>
      </c>
      <c r="B177" s="31" t="str">
        <f ca="1">IFERROR(INDEX(UNSPSCDes,MATCH(INDIRECT(ADDRESS(ROW(),COLUMN()-1,4)),UNSPSCCode,0)),IF(INDIRECT(ADDRESS(ROW(),COLUMN()-1,4))="47121803","Esponjas o esponjillas",""))</f>
        <v>Esponjas o esponjillas</v>
      </c>
      <c r="C177" s="32" t="str">
        <f>IFERROR(VLOOKUP("UD",'[1]Informacion '!P:Q,2,FALSE),"")</f>
        <v>Unidad</v>
      </c>
      <c r="D177" s="30">
        <v>256</v>
      </c>
      <c r="E177" s="33">
        <v>40</v>
      </c>
      <c r="F177" s="34">
        <f t="shared" ca="1" si="3"/>
        <v>10240</v>
      </c>
      <c r="G177" s="21"/>
    </row>
    <row r="178" spans="1:7" ht="16.5" x14ac:dyDescent="0.25">
      <c r="A178" s="30" t="s">
        <v>108</v>
      </c>
      <c r="B178" s="31" t="str">
        <f ca="1">IFERROR(INDEX(UNSPSCDes,MATCH(INDIRECT(ADDRESS(ROW(),COLUMN()-1,4)),UNSPSCCode,0)),IF(INDIRECT(ADDRESS(ROW(),COLUMN()-1,4))="47121803","Esponjas o esponjillas",""))</f>
        <v>Esponjas o esponjillas</v>
      </c>
      <c r="C178" s="32" t="str">
        <f>IFERROR(VLOOKUP("UD",'[1]Informacion '!P:Q,2,FALSE),"")</f>
        <v>Unidad</v>
      </c>
      <c r="D178" s="30">
        <v>170</v>
      </c>
      <c r="E178" s="33">
        <v>20</v>
      </c>
      <c r="F178" s="34">
        <f t="shared" ca="1" si="3"/>
        <v>3400</v>
      </c>
      <c r="G178" s="21"/>
    </row>
    <row r="179" spans="1:7" ht="16.5" x14ac:dyDescent="0.25">
      <c r="A179" s="30" t="s">
        <v>109</v>
      </c>
      <c r="B179" s="31" t="str">
        <f ca="1">IFERROR(INDEX(UNSPSCDes,MATCH(INDIRECT(ADDRESS(ROW(),COLUMN()-1,4)),UNSPSCCode,0)),IF(INDIRECT(ADDRESS(ROW(),COLUMN()-1,4))="47131807","Blanqueadores",""))</f>
        <v>Blanqueadores</v>
      </c>
      <c r="C179" s="32" t="str">
        <f>IFERROR(VLOOKUP("GAL",'[1]Informacion '!P:Q,2,FALSE),"")</f>
        <v>Galón</v>
      </c>
      <c r="D179" s="30">
        <v>154</v>
      </c>
      <c r="E179" s="33">
        <v>80</v>
      </c>
      <c r="F179" s="34">
        <f t="shared" ca="1" si="3"/>
        <v>12320</v>
      </c>
      <c r="G179" s="21"/>
    </row>
    <row r="180" spans="1:7" ht="16.5" x14ac:dyDescent="0.25">
      <c r="A180" s="30" t="s">
        <v>110</v>
      </c>
      <c r="B180" s="31" t="str">
        <f ca="1">IFERROR(INDEX(UNSPSCDes,MATCH(INDIRECT(ADDRESS(ROW(),COLUMN()-1,4)),UNSPSCCode,0)),IF(INDIRECT(ADDRESS(ROW(),COLUMN()-1,4))="47121804","Baldes para limpieza",""))</f>
        <v>Baldes para limpieza</v>
      </c>
      <c r="C180" s="32" t="str">
        <f>IFERROR(VLOOKUP("UD",'[1]Informacion '!P:Q,2,FALSE),"")</f>
        <v>Unidad</v>
      </c>
      <c r="D180" s="30">
        <v>26</v>
      </c>
      <c r="E180" s="33">
        <v>160</v>
      </c>
      <c r="F180" s="34">
        <f t="shared" ca="1" si="3"/>
        <v>4160</v>
      </c>
      <c r="G180" s="21"/>
    </row>
    <row r="181" spans="1:7" ht="16.5" x14ac:dyDescent="0.25">
      <c r="A181" s="30" t="s">
        <v>111</v>
      </c>
      <c r="B181" s="31" t="str">
        <f ca="1">IFERROR(INDEX(UNSPSCDes,MATCH(INDIRECT(ADDRESS(ROW(),COLUMN()-1,4)),UNSPSCCode,0)),IF(INDIRECT(ADDRESS(ROW(),COLUMN()-1,4))="47131801","Limpiadores de pisos",""))</f>
        <v>Limpiadores de pisos</v>
      </c>
      <c r="C181" s="32" t="str">
        <f>IFERROR(VLOOKUP("GAL",'[1]Informacion '!P:Q,2,FALSE),"")</f>
        <v>Galón</v>
      </c>
      <c r="D181" s="30">
        <v>177</v>
      </c>
      <c r="E181" s="33">
        <v>110</v>
      </c>
      <c r="F181" s="34">
        <f t="shared" ca="1" si="3"/>
        <v>19470</v>
      </c>
      <c r="G181" s="21"/>
    </row>
    <row r="182" spans="1:7" ht="16.5" x14ac:dyDescent="0.25">
      <c r="A182" s="30" t="s">
        <v>112</v>
      </c>
      <c r="B182" s="31" t="str">
        <f ca="1">IFERROR(INDEX(UNSPSCDes,MATCH(INDIRECT(ADDRESS(ROW(),COLUMN()-1,4)),UNSPSCCode,0)),IF(INDIRECT(ADDRESS(ROW(),COLUMN()-1,4))="41103206","Detergentes de lavado para laboratorios",""))</f>
        <v>Detergentes de lavado para laboratorios</v>
      </c>
      <c r="C182" s="32" t="str">
        <f>IFERROR(VLOOKUP("LB",'[1]Informacion '!P:Q,2,FALSE),"")</f>
        <v>Libra </v>
      </c>
      <c r="D182" s="30">
        <v>166</v>
      </c>
      <c r="E182" s="33">
        <v>50</v>
      </c>
      <c r="F182" s="34">
        <f t="shared" ca="1" si="3"/>
        <v>8300</v>
      </c>
      <c r="G182" s="21"/>
    </row>
    <row r="183" spans="1:7" ht="16.5" x14ac:dyDescent="0.25">
      <c r="A183" s="30" t="s">
        <v>113</v>
      </c>
      <c r="B183" s="31" t="str">
        <f ca="1">IFERROR(INDEX(UNSPSCDes,MATCH(INDIRECT(ADDRESS(ROW(),COLUMN()-1,4)),UNSPSCCode,0)),IF(INDIRECT(ADDRESS(ROW(),COLUMN()-1,4))="47131604","Escobas",""))</f>
        <v>Escobas</v>
      </c>
      <c r="C183" s="32" t="str">
        <f>IFERROR(VLOOKUP("UD",'[1]Informacion '!P:Q,2,FALSE),"")</f>
        <v>Unidad</v>
      </c>
      <c r="D183" s="30">
        <v>45</v>
      </c>
      <c r="E183" s="33">
        <v>145</v>
      </c>
      <c r="F183" s="34">
        <f t="shared" ca="1" si="3"/>
        <v>6525</v>
      </c>
      <c r="G183" s="21"/>
    </row>
    <row r="184" spans="1:7" ht="16.5" x14ac:dyDescent="0.25">
      <c r="A184" s="30" t="s">
        <v>114</v>
      </c>
      <c r="B184" s="31" t="str">
        <f ca="1">IFERROR(INDEX(UNSPSCDes,MATCH(INDIRECT(ADDRESS(ROW(),COLUMN()-1,4)),UNSPSCCode,0)),IF(INDIRECT(ADDRESS(ROW(),COLUMN()-1,4))="47121701","Bolsas de basura",""))</f>
        <v>Bolsas de basura</v>
      </c>
      <c r="C184" s="32" t="str">
        <f>IFERROR(VLOOKUP("PAQ",'[1]Informacion '!P:Q,2,FALSE),"")</f>
        <v>Paquete</v>
      </c>
      <c r="D184" s="30">
        <v>94</v>
      </c>
      <c r="E184" s="33">
        <v>335</v>
      </c>
      <c r="F184" s="34">
        <f t="shared" ca="1" si="3"/>
        <v>31490</v>
      </c>
      <c r="G184" s="21"/>
    </row>
    <row r="185" spans="1:7" ht="16.5" x14ac:dyDescent="0.25">
      <c r="A185" s="30" t="s">
        <v>114</v>
      </c>
      <c r="B185" s="31" t="str">
        <f ca="1">IFERROR(INDEX(UNSPSCDes,MATCH(INDIRECT(ADDRESS(ROW(),COLUMN()-1,4)),UNSPSCCode,0)),IF(INDIRECT(ADDRESS(ROW(),COLUMN()-1,4))="47121701","Bolsas de basura",""))</f>
        <v>Bolsas de basura</v>
      </c>
      <c r="C185" s="32" t="str">
        <f>IFERROR(VLOOKUP("PAQ",'[1]Informacion '!P:Q,2,FALSE),"")</f>
        <v>Paquete</v>
      </c>
      <c r="D185" s="30">
        <v>67</v>
      </c>
      <c r="E185" s="33">
        <v>580</v>
      </c>
      <c r="F185" s="34">
        <f t="shared" ca="1" si="3"/>
        <v>38860</v>
      </c>
      <c r="G185" s="21"/>
    </row>
    <row r="186" spans="1:7" ht="16.5" x14ac:dyDescent="0.25">
      <c r="A186" s="30" t="s">
        <v>115</v>
      </c>
      <c r="B186" s="31" t="str">
        <f ca="1">IFERROR(INDEX(UNSPSCDes,MATCH(INDIRECT(ADDRESS(ROW(),COLUMN()-1,4)),UNSPSCCode,0)),IF(INDIRECT(ADDRESS(ROW(),COLUMN()-1,4))="47132102","Kits de limpieza para uso general",""))</f>
        <v>Kits de limpieza para uso general</v>
      </c>
      <c r="C186" s="32" t="str">
        <f>IFERROR(VLOOKUP("PAQ",'[1]Informacion '!P:Q,2,FALSE),"")</f>
        <v>Paquete</v>
      </c>
      <c r="D186" s="30">
        <v>99</v>
      </c>
      <c r="E186" s="33">
        <v>60</v>
      </c>
      <c r="F186" s="34">
        <f t="shared" ca="1" si="3"/>
        <v>5940</v>
      </c>
      <c r="G186" s="21"/>
    </row>
    <row r="187" spans="1:7" ht="16.5" x14ac:dyDescent="0.25">
      <c r="A187" s="30" t="s">
        <v>116</v>
      </c>
      <c r="B187" s="31" t="str">
        <f ca="1">IFERROR(INDEX(UNSPSCDes,MATCH(INDIRECT(ADDRESS(ROW(),COLUMN()-1,4)),UNSPSCCode,0)),IF(INDIRECT(ADDRESS(ROW(),COLUMN()-1,4))="47131810","Productos para el lavaplatos",""))</f>
        <v>Productos para el lavaplatos</v>
      </c>
      <c r="C187" s="32" t="str">
        <f>IFERROR(VLOOKUP("GAL",'[1]Informacion '!P:Q,2,FALSE),"")</f>
        <v>Galón</v>
      </c>
      <c r="D187" s="30">
        <v>112</v>
      </c>
      <c r="E187" s="33">
        <v>170</v>
      </c>
      <c r="F187" s="34">
        <f t="shared" ca="1" si="3"/>
        <v>19040</v>
      </c>
      <c r="G187" s="21"/>
    </row>
    <row r="188" spans="1:7" ht="16.5" x14ac:dyDescent="0.25">
      <c r="A188" s="30" t="s">
        <v>116</v>
      </c>
      <c r="B188" s="31" t="str">
        <f ca="1">IFERROR(INDEX(UNSPSCDes,MATCH(INDIRECT(ADDRESS(ROW(),COLUMN()-1,4)),UNSPSCCode,0)),IF(INDIRECT(ADDRESS(ROW(),COLUMN()-1,4))="47131810","Productos para el lavaplatos",""))</f>
        <v>Productos para el lavaplatos</v>
      </c>
      <c r="C188" s="32" t="str">
        <f>IFERROR(VLOOKUP("GAL",'[1]Informacion '!P:Q,2,FALSE),"")</f>
        <v>Galón</v>
      </c>
      <c r="D188" s="30">
        <v>90</v>
      </c>
      <c r="E188" s="33">
        <v>170</v>
      </c>
      <c r="F188" s="34">
        <f t="shared" ca="1" si="3"/>
        <v>15300</v>
      </c>
      <c r="G188" s="21"/>
    </row>
    <row r="189" spans="1:7" ht="16.5" x14ac:dyDescent="0.25">
      <c r="A189" s="30" t="s">
        <v>117</v>
      </c>
      <c r="B189" s="31" t="str">
        <f ca="1">IFERROR(INDEX(UNSPSCDes,MATCH(INDIRECT(ADDRESS(ROW(),COLUMN()-1,4)),UNSPSCCode,0)),IF(INDIRECT(ADDRESS(ROW(),COLUMN()-1,4))="47131803","Desinfectantes para uso doméstico",""))</f>
        <v>Desinfectantes para uso doméstico</v>
      </c>
      <c r="C189" s="32" t="str">
        <f>IFERROR(VLOOKUP("UD",'[1]Informacion '!P:Q,2,FALSE),"")</f>
        <v>Unidad</v>
      </c>
      <c r="D189" s="30">
        <v>101</v>
      </c>
      <c r="E189" s="33">
        <v>340</v>
      </c>
      <c r="F189" s="34">
        <f t="shared" ca="1" si="3"/>
        <v>34340</v>
      </c>
      <c r="G189" s="21"/>
    </row>
    <row r="190" spans="1:7" ht="16.5" x14ac:dyDescent="0.25">
      <c r="A190" s="30" t="s">
        <v>118</v>
      </c>
      <c r="B190" s="31" t="str">
        <f ca="1">IFERROR(INDEX(UNSPSCDes,MATCH(INDIRECT(ADDRESS(ROW(),COLUMN()-1,4)),UNSPSCCode,0)),IF(INDIRECT(ADDRESS(ROW(),COLUMN()-1,4))="47131618","Traperos húmedos",""))</f>
        <v>Traperos húmedos</v>
      </c>
      <c r="C190" s="32" t="str">
        <f>IFERROR(VLOOKUP("UD",'[1]Informacion '!P:Q,2,FALSE),"")</f>
        <v>Unidad</v>
      </c>
      <c r="D190" s="30">
        <v>54</v>
      </c>
      <c r="E190" s="33">
        <v>180</v>
      </c>
      <c r="F190" s="34">
        <f t="shared" ca="1" si="3"/>
        <v>9720</v>
      </c>
      <c r="G190" s="21"/>
    </row>
    <row r="191" spans="1:7" ht="16.5" x14ac:dyDescent="0.25">
      <c r="A191" s="30" t="s">
        <v>119</v>
      </c>
      <c r="B191" s="31" t="str">
        <f ca="1">IFERROR(INDEX(UNSPSCDes,MATCH(INDIRECT(ADDRESS(ROW(),COLUMN()-1,4)),UNSPSCCode,0)),IF(INDIRECT(ADDRESS(ROW(),COLUMN()-1,4))="47131503","Gamuzas o cueros para lavar",""))</f>
        <v>Gamuzas o cueros para lavar</v>
      </c>
      <c r="C191" s="32" t="str">
        <f>IFERROR(VLOOKUP("YD",'[1]Informacion '!P:Q,2,FALSE),"")</f>
        <v>Yarda</v>
      </c>
      <c r="D191" s="30">
        <v>38</v>
      </c>
      <c r="E191" s="33">
        <v>85</v>
      </c>
      <c r="F191" s="34">
        <f t="shared" ca="1" si="3"/>
        <v>3230</v>
      </c>
      <c r="G191" s="21"/>
    </row>
    <row r="192" spans="1:7" ht="16.5" x14ac:dyDescent="0.25">
      <c r="A192" s="30" t="s">
        <v>120</v>
      </c>
      <c r="B192" s="31" t="str">
        <f ca="1">IFERROR(INDEX(UNSPSCDes,MATCH(INDIRECT(ADDRESS(ROW(),COLUMN()-1,4)),UNSPSCCode,0)),IF(INDIRECT(ADDRESS(ROW(),COLUMN()-1,4))="47131502","Pañitos o toallas para limpiar",""))</f>
        <v>Pañitos o toallas para limpiar</v>
      </c>
      <c r="C192" s="32" t="str">
        <f>IFERROR(VLOOKUP("UD",'[1]Informacion '!P:Q,2,FALSE),"")</f>
        <v>Unidad</v>
      </c>
      <c r="D192" s="30">
        <v>26</v>
      </c>
      <c r="E192" s="33">
        <v>90</v>
      </c>
      <c r="F192" s="34">
        <f t="shared" ca="1" si="3"/>
        <v>2340</v>
      </c>
      <c r="G192" s="21"/>
    </row>
    <row r="193" spans="1:7" ht="16.5" x14ac:dyDescent="0.25">
      <c r="A193" s="30" t="s">
        <v>121</v>
      </c>
      <c r="B193" s="31" t="str">
        <f ca="1">IFERROR(INDEX(UNSPSCDes,MATCH(INDIRECT(ADDRESS(ROW(),COLUMN()-1,4)),UNSPSCCode,0)),IF(INDIRECT(ADDRESS(ROW(),COLUMN()-1,4))="47131824","Limpiadores de vidrio o ventanas",""))</f>
        <v>Limpiadores de vidrio o ventanas</v>
      </c>
      <c r="C193" s="32" t="str">
        <f>IFERROR(VLOOKUP("GAL",'[1]Informacion '!P:Q,2,FALSE),"")</f>
        <v>Galón</v>
      </c>
      <c r="D193" s="30">
        <v>14</v>
      </c>
      <c r="E193" s="33">
        <v>190</v>
      </c>
      <c r="F193" s="34">
        <f t="shared" ca="1" si="3"/>
        <v>2660</v>
      </c>
      <c r="G193" s="21"/>
    </row>
    <row r="194" spans="1:7" ht="16.5" x14ac:dyDescent="0.25">
      <c r="A194" s="30" t="s">
        <v>122</v>
      </c>
      <c r="B194" s="31" t="str">
        <f ca="1">IFERROR(INDEX(UNSPSCDes,MATCH(INDIRECT(ADDRESS(ROW(),COLUMN()-1,4)),UNSPSCCode,0)),IF(INDIRECT(ADDRESS(ROW(),COLUMN()-1,4))="47131805","Limpiadores de propósito general",""))</f>
        <v>Limpiadores de propósito general</v>
      </c>
      <c r="C194" s="32" t="str">
        <f>IFERROR(VLOOKUP("UD",'[1]Informacion '!P:Q,2,FALSE),"")</f>
        <v>Unidad</v>
      </c>
      <c r="D194" s="30">
        <v>16</v>
      </c>
      <c r="E194" s="33">
        <v>210</v>
      </c>
      <c r="F194" s="34">
        <f t="shared" ca="1" si="3"/>
        <v>3360</v>
      </c>
      <c r="G194" s="21"/>
    </row>
    <row r="195" spans="1:7" ht="16.5" x14ac:dyDescent="0.25">
      <c r="A195" s="30" t="s">
        <v>119</v>
      </c>
      <c r="B195" s="31" t="str">
        <f ca="1">IFERROR(INDEX(UNSPSCDes,MATCH(INDIRECT(ADDRESS(ROW(),COLUMN()-1,4)),UNSPSCCode,0)),IF(INDIRECT(ADDRESS(ROW(),COLUMN()-1,4))="47131503","Gamuzas o cueros para lavar",""))</f>
        <v>Gamuzas o cueros para lavar</v>
      </c>
      <c r="C195" s="32" t="str">
        <f>IFERROR(VLOOKUP("UD",'[1]Informacion '!P:Q,2,FALSE),"")</f>
        <v>Unidad</v>
      </c>
      <c r="D195" s="30">
        <v>9</v>
      </c>
      <c r="E195" s="33">
        <v>160</v>
      </c>
      <c r="F195" s="34">
        <f t="shared" ca="1" si="3"/>
        <v>1440</v>
      </c>
      <c r="G195" s="21"/>
    </row>
    <row r="196" spans="1:7" ht="16.5" x14ac:dyDescent="0.25">
      <c r="A196" s="30" t="s">
        <v>117</v>
      </c>
      <c r="B196" s="31" t="str">
        <f ca="1">IFERROR(INDEX(UNSPSCDes,MATCH(INDIRECT(ADDRESS(ROW(),COLUMN()-1,4)),UNSPSCCode,0)),IF(INDIRECT(ADDRESS(ROW(),COLUMN()-1,4))="47131803","Desinfectantes para uso doméstico",""))</f>
        <v>Desinfectantes para uso doméstico</v>
      </c>
      <c r="C196" s="32" t="str">
        <f>IFERROR(VLOOKUP("UD",'[1]Informacion '!P:Q,2,FALSE),"")</f>
        <v>Unidad</v>
      </c>
      <c r="D196" s="30">
        <v>27</v>
      </c>
      <c r="E196" s="33">
        <v>360</v>
      </c>
      <c r="F196" s="34">
        <f t="shared" ca="1" si="3"/>
        <v>9720</v>
      </c>
      <c r="G196" s="21"/>
    </row>
    <row r="197" spans="1:7" ht="16.5" x14ac:dyDescent="0.25">
      <c r="A197" s="30" t="s">
        <v>123</v>
      </c>
      <c r="B197" s="31" t="str">
        <f ca="1">IFERROR(INDEX(UNSPSCDes,MATCH(INDIRECT(ADDRESS(ROW(),COLUMN()-1,4)),UNSPSCCode,0)),IF(INDIRECT(ADDRESS(ROW(),COLUMN()-1,4))="47131611","Recogedor de basura",""))</f>
        <v>Recogedor de basura</v>
      </c>
      <c r="C197" s="32" t="str">
        <f>IFERROR(VLOOKUP("UD",'[1]Informacion '!P:Q,2,FALSE),"")</f>
        <v>Unidad</v>
      </c>
      <c r="D197" s="30">
        <v>1</v>
      </c>
      <c r="E197" s="33">
        <v>110</v>
      </c>
      <c r="F197" s="34">
        <f t="shared" ca="1" si="3"/>
        <v>110</v>
      </c>
      <c r="G197" s="21"/>
    </row>
    <row r="198" spans="1:7" ht="16.5" x14ac:dyDescent="0.25">
      <c r="A198" s="30" t="s">
        <v>124</v>
      </c>
      <c r="B198" s="31" t="str">
        <f ca="1">IFERROR(INDEX(UNSPSCDes,MATCH(INDIRECT(ADDRESS(ROW(),COLUMN()-1,4)),UNSPSCCode,0)),IF(INDIRECT(ADDRESS(ROW(),COLUMN()-1,4))="47131804","Limpiadores de amoniaco",""))</f>
        <v>Limpiadores de amoniaco</v>
      </c>
      <c r="C198" s="32" t="str">
        <f>IFERROR(VLOOKUP("GAL",'[1]Informacion '!P:Q,2,FALSE),"")</f>
        <v>Galón</v>
      </c>
      <c r="D198" s="30">
        <v>5</v>
      </c>
      <c r="E198" s="33">
        <v>200</v>
      </c>
      <c r="F198" s="34">
        <f t="shared" ca="1" si="3"/>
        <v>1000</v>
      </c>
      <c r="G198" s="21"/>
    </row>
    <row r="199" spans="1:7" ht="22.5" x14ac:dyDescent="0.25">
      <c r="A199" s="30" t="s">
        <v>125</v>
      </c>
      <c r="B199" s="31" t="str">
        <f ca="1">IFERROR(INDEX(UNSPSCDes,MATCH(INDIRECT(ADDRESS(ROW(),COLUMN()-1,4)),UNSPSCCode,0)),IF(INDIRECT(ADDRESS(ROW(),COLUMN()-1,4))="47131704","Dispensadores institucionales de jabón o loción",""))</f>
        <v>Dispensadores institucionales de jabón o loción</v>
      </c>
      <c r="C199" s="32" t="str">
        <f>IFERROR(VLOOKUP("UD",'[1]Informacion '!P:Q,2,FALSE),"")</f>
        <v>Unidad</v>
      </c>
      <c r="D199" s="30">
        <v>5</v>
      </c>
      <c r="E199" s="33">
        <v>1000</v>
      </c>
      <c r="F199" s="34">
        <f t="shared" ca="1" si="3"/>
        <v>5000</v>
      </c>
      <c r="G199" s="21"/>
    </row>
    <row r="200" spans="1:7" ht="16.5" x14ac:dyDescent="0.25">
      <c r="A200" s="30" t="s">
        <v>126</v>
      </c>
      <c r="B200" s="31" t="str">
        <f ca="1">IFERROR(INDEX(UNSPSCDes,MATCH(INDIRECT(ADDRESS(ROW(),COLUMN()-1,4)),UNSPSCCode,0)),IF(INDIRECT(ADDRESS(ROW(),COLUMN()-1,4))="47131701","Dispensadores de toallas de papel",""))</f>
        <v>Dispensadores de toallas de papel</v>
      </c>
      <c r="C200" s="32" t="str">
        <f>IFERROR(VLOOKUP("UD",'[1]Informacion '!P:Q,2,FALSE),"")</f>
        <v>Unidad</v>
      </c>
      <c r="D200" s="30">
        <v>1</v>
      </c>
      <c r="E200" s="33">
        <v>1600</v>
      </c>
      <c r="F200" s="34">
        <f t="shared" ca="1" si="3"/>
        <v>1600</v>
      </c>
      <c r="G200" s="21"/>
    </row>
    <row r="201" spans="1:7" ht="16.5" x14ac:dyDescent="0.25">
      <c r="A201" s="30" t="s">
        <v>127</v>
      </c>
      <c r="B201" s="31" t="str">
        <f ca="1">IFERROR(INDEX(UNSPSCDes,MATCH(INDIRECT(ADDRESS(ROW(),COLUMN()-1,4)),UNSPSCCode,0)),IF(INDIRECT(ADDRESS(ROW(),COLUMN()-1,4))="47131710","Dispensadores de papel higiénico",""))</f>
        <v>Dispensadores de papel higiénico</v>
      </c>
      <c r="C201" s="32" t="str">
        <f>IFERROR(VLOOKUP("UD",'[1]Informacion '!P:Q,2,FALSE),"")</f>
        <v>Unidad</v>
      </c>
      <c r="D201" s="30">
        <v>1</v>
      </c>
      <c r="E201" s="33">
        <v>1240</v>
      </c>
      <c r="F201" s="34">
        <f t="shared" ca="1" si="3"/>
        <v>1240</v>
      </c>
      <c r="G201" s="21"/>
    </row>
    <row r="202" spans="1:7" ht="16.5" x14ac:dyDescent="0.25">
      <c r="A202" s="30" t="s">
        <v>128</v>
      </c>
      <c r="B202" s="31" t="str">
        <f ca="1">IFERROR(INDEX(UNSPSCDes,MATCH(INDIRECT(ADDRESS(ROW(),COLUMN()-1,4)),UNSPSCCode,0)),IF(INDIRECT(ADDRESS(ROW(),COLUMN()-1,4))="47131706","Dispensadores de ambientadores",""))</f>
        <v>Dispensadores de ambientadores</v>
      </c>
      <c r="C202" s="32" t="str">
        <f>IFERROR(VLOOKUP("UD",'[1]Informacion '!P:Q,2,FALSE),"")</f>
        <v>Unidad</v>
      </c>
      <c r="D202" s="30">
        <v>2</v>
      </c>
      <c r="E202" s="33">
        <v>1100</v>
      </c>
      <c r="F202" s="34">
        <f t="shared" ca="1" si="3"/>
        <v>2200</v>
      </c>
      <c r="G202" s="21"/>
    </row>
    <row r="203" spans="1:7" ht="16.5" x14ac:dyDescent="0.25">
      <c r="A203" s="21"/>
      <c r="B203" s="21"/>
      <c r="C203" s="21"/>
      <c r="D203" s="21"/>
      <c r="E203" s="35" t="s">
        <v>48</v>
      </c>
      <c r="F203" s="36">
        <f ca="1">SUM(Table12[MONTO TOTAL ESTIMADO])</f>
        <v>588975</v>
      </c>
      <c r="G203" s="21"/>
    </row>
    <row r="204" spans="1:7" ht="17.25" thickBot="1" x14ac:dyDescent="0.3">
      <c r="A204" s="21"/>
      <c r="B204" s="21"/>
      <c r="C204" s="21"/>
      <c r="D204" s="21"/>
      <c r="E204" s="21"/>
      <c r="F204" s="21"/>
      <c r="G204" s="21"/>
    </row>
    <row r="205" spans="1:7" ht="23.25" thickBot="1" x14ac:dyDescent="0.3">
      <c r="A205" s="22" t="s">
        <v>19</v>
      </c>
      <c r="B205" s="22" t="s">
        <v>20</v>
      </c>
      <c r="C205" s="22" t="s">
        <v>21</v>
      </c>
      <c r="D205" s="22" t="s">
        <v>22</v>
      </c>
      <c r="E205" s="22" t="s">
        <v>23</v>
      </c>
      <c r="F205" s="22" t="s">
        <v>24</v>
      </c>
      <c r="G205" s="21"/>
    </row>
    <row r="206" spans="1:7" ht="17.25" thickBot="1" x14ac:dyDescent="0.3">
      <c r="A206" s="23" t="s">
        <v>129</v>
      </c>
      <c r="B206" s="23" t="s">
        <v>130</v>
      </c>
      <c r="C206" s="23" t="s">
        <v>54</v>
      </c>
      <c r="D206" s="23" t="s">
        <v>28</v>
      </c>
      <c r="E206" s="23" t="s">
        <v>56</v>
      </c>
      <c r="F206" s="23"/>
      <c r="G206" s="21"/>
    </row>
    <row r="207" spans="1:7" ht="17.25" thickBot="1" x14ac:dyDescent="0.3">
      <c r="A207" s="43" t="s">
        <v>30</v>
      </c>
      <c r="B207" s="24" t="s">
        <v>31</v>
      </c>
      <c r="C207" s="25">
        <v>44600</v>
      </c>
      <c r="D207" s="43" t="s">
        <v>32</v>
      </c>
      <c r="E207" s="26" t="s">
        <v>33</v>
      </c>
      <c r="F207" s="27" t="s">
        <v>34</v>
      </c>
      <c r="G207" s="21"/>
    </row>
    <row r="208" spans="1:7" ht="17.25" thickBot="1" x14ac:dyDescent="0.3">
      <c r="A208" s="44"/>
      <c r="B208" s="24" t="s">
        <v>35</v>
      </c>
      <c r="C208" s="28">
        <f>IF(C207="","",IF(AND(MONTH(C207)&gt;=1,MONTH(C207)&lt;=3),1,IF(AND(MONTH(C207)&gt;=4,MONTH(C207)&lt;=6),2,IF(AND(MONTH(C207)&gt;=7,MONTH(C207)&lt;=9),3,4))))</f>
        <v>1</v>
      </c>
      <c r="D208" s="44"/>
      <c r="E208" s="26" t="s">
        <v>36</v>
      </c>
      <c r="F208" s="27" t="s">
        <v>37</v>
      </c>
      <c r="G208" s="21"/>
    </row>
    <row r="209" spans="1:7" ht="17.25" thickBot="1" x14ac:dyDescent="0.3">
      <c r="A209" s="44"/>
      <c r="B209" s="24" t="s">
        <v>38</v>
      </c>
      <c r="C209" s="25">
        <v>44607</v>
      </c>
      <c r="D209" s="44"/>
      <c r="E209" s="26" t="s">
        <v>39</v>
      </c>
      <c r="F209" s="27"/>
      <c r="G209" s="21"/>
    </row>
    <row r="210" spans="1:7" ht="17.25" thickBot="1" x14ac:dyDescent="0.3">
      <c r="A210" s="44"/>
      <c r="B210" s="24" t="s">
        <v>35</v>
      </c>
      <c r="C210" s="28">
        <f>IF(C209="","",IF(AND(MONTH(C209)&gt;=1,MONTH(C209)&lt;=3),1,IF(AND(MONTH(C209)&gt;=4,MONTH(C209)&lt;=6),2,IF(AND(MONTH(C209)&gt;=7,MONTH(C209)&lt;=9),3,4))))</f>
        <v>1</v>
      </c>
      <c r="D210" s="44"/>
      <c r="E210" s="26" t="s">
        <v>40</v>
      </c>
      <c r="F210" s="27"/>
      <c r="G210" s="21"/>
    </row>
    <row r="211" spans="1:7" ht="17.25" thickBot="1" x14ac:dyDescent="0.3">
      <c r="A211" s="21"/>
      <c r="B211" s="21"/>
      <c r="C211" s="21"/>
      <c r="D211" s="21"/>
      <c r="E211" s="21"/>
      <c r="F211" s="21"/>
      <c r="G211" s="21"/>
    </row>
    <row r="212" spans="1:7" ht="17.25" thickBot="1" x14ac:dyDescent="0.3">
      <c r="A212" s="29" t="s">
        <v>41</v>
      </c>
      <c r="B212" s="29" t="s">
        <v>42</v>
      </c>
      <c r="C212" s="29" t="s">
        <v>43</v>
      </c>
      <c r="D212" s="29" t="s">
        <v>44</v>
      </c>
      <c r="E212" s="29" t="s">
        <v>45</v>
      </c>
      <c r="F212" s="29" t="s">
        <v>46</v>
      </c>
      <c r="G212" s="21"/>
    </row>
    <row r="213" spans="1:7" ht="16.5" x14ac:dyDescent="0.25">
      <c r="A213" s="30" t="s">
        <v>131</v>
      </c>
      <c r="B213" s="31" t="str">
        <f ca="1">IFERROR(INDEX(UNSPSCDes,MATCH(INDIRECT(ADDRESS(ROW(),COLUMN()-1,4)),UNSPSCCode,0)),IF(INDIRECT(ADDRESS(ROW(),COLUMN()-1,4))="50202301","Agua",""))</f>
        <v>Agua</v>
      </c>
      <c r="C213" s="32" t="str">
        <f>IFERROR(VLOOKUP("PAQ",'[1]Informacion '!P:Q,2,FALSE),"")</f>
        <v>Paquete</v>
      </c>
      <c r="D213" s="30">
        <v>360</v>
      </c>
      <c r="E213" s="33">
        <v>140</v>
      </c>
      <c r="F213" s="34">
        <f ca="1">INDIRECT(ADDRESS(ROW(),COLUMN()-2,4))*INDIRECT(ADDRESS(ROW(),COLUMN()-1,4))</f>
        <v>50400</v>
      </c>
      <c r="G213" s="21"/>
    </row>
    <row r="214" spans="1:7" ht="16.5" x14ac:dyDescent="0.25">
      <c r="A214" s="30" t="s">
        <v>131</v>
      </c>
      <c r="B214" s="31" t="str">
        <f ca="1">IFERROR(INDEX(UNSPSCDes,MATCH(INDIRECT(ADDRESS(ROW(),COLUMN()-1,4)),UNSPSCCode,0)),IF(INDIRECT(ADDRESS(ROW(),COLUMN()-1,4))="50202301","Agua",""))</f>
        <v>Agua</v>
      </c>
      <c r="C214" s="32" t="str">
        <f>IFERROR(VLOOKUP("UD",'[1]Informacion '!P:Q,2,FALSE),"")</f>
        <v>Unidad</v>
      </c>
      <c r="D214" s="30">
        <v>2640</v>
      </c>
      <c r="E214" s="33">
        <v>60</v>
      </c>
      <c r="F214" s="34">
        <f ca="1">INDIRECT(ADDRESS(ROW(),COLUMN()-2,4))*INDIRECT(ADDRESS(ROW(),COLUMN()-1,4))</f>
        <v>158400</v>
      </c>
      <c r="G214" s="21"/>
    </row>
    <row r="215" spans="1:7" ht="16.5" x14ac:dyDescent="0.25">
      <c r="A215" s="21"/>
      <c r="B215" s="21"/>
      <c r="C215" s="21"/>
      <c r="D215" s="21"/>
      <c r="E215" s="35" t="s">
        <v>48</v>
      </c>
      <c r="F215" s="36">
        <f ca="1">SUM(Table13[MONTO TOTAL ESTIMADO])</f>
        <v>208800</v>
      </c>
      <c r="G215" s="21"/>
    </row>
    <row r="216" spans="1:7" ht="17.25" thickBot="1" x14ac:dyDescent="0.3">
      <c r="A216" s="21"/>
      <c r="B216" s="21"/>
      <c r="C216" s="21"/>
      <c r="D216" s="21"/>
      <c r="E216" s="21"/>
      <c r="F216" s="21"/>
      <c r="G216" s="21"/>
    </row>
    <row r="217" spans="1:7" ht="23.25" thickBot="1" x14ac:dyDescent="0.3">
      <c r="A217" s="22" t="s">
        <v>19</v>
      </c>
      <c r="B217" s="22" t="s">
        <v>20</v>
      </c>
      <c r="C217" s="22" t="s">
        <v>21</v>
      </c>
      <c r="D217" s="22" t="s">
        <v>22</v>
      </c>
      <c r="E217" s="22" t="s">
        <v>23</v>
      </c>
      <c r="F217" s="22" t="s">
        <v>24</v>
      </c>
      <c r="G217" s="21"/>
    </row>
    <row r="218" spans="1:7" ht="17.25" thickBot="1" x14ac:dyDescent="0.3">
      <c r="A218" s="23" t="s">
        <v>132</v>
      </c>
      <c r="B218" s="23" t="s">
        <v>133</v>
      </c>
      <c r="C218" s="23" t="s">
        <v>54</v>
      </c>
      <c r="D218" s="23" t="s">
        <v>28</v>
      </c>
      <c r="E218" s="23" t="s">
        <v>29</v>
      </c>
      <c r="F218" s="23"/>
      <c r="G218" s="21"/>
    </row>
    <row r="219" spans="1:7" ht="17.25" thickBot="1" x14ac:dyDescent="0.3">
      <c r="A219" s="43" t="s">
        <v>30</v>
      </c>
      <c r="B219" s="24" t="s">
        <v>31</v>
      </c>
      <c r="C219" s="25">
        <v>44656</v>
      </c>
      <c r="D219" s="43" t="s">
        <v>32</v>
      </c>
      <c r="E219" s="26" t="s">
        <v>33</v>
      </c>
      <c r="F219" s="27" t="s">
        <v>34</v>
      </c>
      <c r="G219" s="21"/>
    </row>
    <row r="220" spans="1:7" ht="17.25" thickBot="1" x14ac:dyDescent="0.3">
      <c r="A220" s="44"/>
      <c r="B220" s="24" t="s">
        <v>35</v>
      </c>
      <c r="C220" s="28">
        <f>IF(C219="","",IF(AND(MONTH(C219)&gt;=1,MONTH(C219)&lt;=3),1,IF(AND(MONTH(C219)&gt;=4,MONTH(C219)&lt;=6),2,IF(AND(MONTH(C219)&gt;=7,MONTH(C219)&lt;=9),3,4))))</f>
        <v>2</v>
      </c>
      <c r="D220" s="44"/>
      <c r="E220" s="26" t="s">
        <v>36</v>
      </c>
      <c r="F220" s="27" t="s">
        <v>37</v>
      </c>
      <c r="G220" s="21"/>
    </row>
    <row r="221" spans="1:7" ht="17.25" thickBot="1" x14ac:dyDescent="0.3">
      <c r="A221" s="44"/>
      <c r="B221" s="24" t="s">
        <v>38</v>
      </c>
      <c r="C221" s="25">
        <v>44663</v>
      </c>
      <c r="D221" s="44"/>
      <c r="E221" s="26" t="s">
        <v>39</v>
      </c>
      <c r="F221" s="27"/>
      <c r="G221" s="21"/>
    </row>
    <row r="222" spans="1:7" ht="17.25" thickBot="1" x14ac:dyDescent="0.3">
      <c r="A222" s="44"/>
      <c r="B222" s="24" t="s">
        <v>35</v>
      </c>
      <c r="C222" s="28">
        <f>IF(C221="","",IF(AND(MONTH(C221)&gt;=1,MONTH(C221)&lt;=3),1,IF(AND(MONTH(C221)&gt;=4,MONTH(C221)&lt;=6),2,IF(AND(MONTH(C221)&gt;=7,MONTH(C221)&lt;=9),3,4))))</f>
        <v>2</v>
      </c>
      <c r="D222" s="44"/>
      <c r="E222" s="26" t="s">
        <v>40</v>
      </c>
      <c r="F222" s="27"/>
      <c r="G222" s="21"/>
    </row>
    <row r="223" spans="1:7" ht="17.25" thickBot="1" x14ac:dyDescent="0.3">
      <c r="A223" s="21"/>
      <c r="B223" s="21"/>
      <c r="C223" s="21"/>
      <c r="D223" s="21"/>
      <c r="E223" s="21"/>
      <c r="F223" s="21"/>
      <c r="G223" s="21"/>
    </row>
    <row r="224" spans="1:7" ht="17.25" thickBot="1" x14ac:dyDescent="0.3">
      <c r="A224" s="29" t="s">
        <v>41</v>
      </c>
      <c r="B224" s="29" t="s">
        <v>42</v>
      </c>
      <c r="C224" s="29" t="s">
        <v>43</v>
      </c>
      <c r="D224" s="29" t="s">
        <v>44</v>
      </c>
      <c r="E224" s="29" t="s">
        <v>45</v>
      </c>
      <c r="F224" s="29" t="s">
        <v>46</v>
      </c>
      <c r="G224" s="21"/>
    </row>
    <row r="225" spans="1:7" ht="16.5" x14ac:dyDescent="0.25">
      <c r="A225" s="30" t="s">
        <v>134</v>
      </c>
      <c r="B225" s="31" t="str">
        <f ca="1">IFERROR(INDEX(UNSPSCDes,MATCH(INDIRECT(ADDRESS(ROW(),COLUMN()-1,4)),UNSPSCCode,0)),IF(INDIRECT(ADDRESS(ROW(),COLUMN()-1,4))="50201706","Café",""))</f>
        <v>Café</v>
      </c>
      <c r="C225" s="32" t="str">
        <f>IFERROR(VLOOKUP("UD",'[1]Informacion '!P:Q,2,FALSE),"")</f>
        <v>Unidad</v>
      </c>
      <c r="D225" s="30">
        <v>825</v>
      </c>
      <c r="E225" s="33">
        <v>260</v>
      </c>
      <c r="F225" s="34">
        <f ca="1">INDIRECT(ADDRESS(ROW(),COLUMN()-2,4))*INDIRECT(ADDRESS(ROW(),COLUMN()-1,4))</f>
        <v>214500</v>
      </c>
      <c r="G225" s="21"/>
    </row>
    <row r="226" spans="1:7" ht="16.5" x14ac:dyDescent="0.25">
      <c r="A226" s="30" t="s">
        <v>135</v>
      </c>
      <c r="B226" s="31" t="str">
        <f ca="1">IFERROR(INDEX(UNSPSCDes,MATCH(INDIRECT(ADDRESS(ROW(),COLUMN()-1,4)),UNSPSCCode,0)),IF(INDIRECT(ADDRESS(ROW(),COLUMN()-1,4))="50161509","Azucares naturales o productos endulzantes",""))</f>
        <v>Azucares naturales o productos endulzantes</v>
      </c>
      <c r="C226" s="32" t="str">
        <f>IFERROR(VLOOKUP("UD",'[1]Informacion '!P:Q,2,FALSE),"")</f>
        <v>Unidad</v>
      </c>
      <c r="D226" s="30">
        <v>228</v>
      </c>
      <c r="E226" s="33">
        <v>160</v>
      </c>
      <c r="F226" s="34">
        <f ca="1">INDIRECT(ADDRESS(ROW(),COLUMN()-2,4))*INDIRECT(ADDRESS(ROW(),COLUMN()-1,4))</f>
        <v>36480</v>
      </c>
      <c r="G226" s="21"/>
    </row>
    <row r="227" spans="1:7" ht="16.5" x14ac:dyDescent="0.25">
      <c r="A227" s="30" t="s">
        <v>135</v>
      </c>
      <c r="B227" s="31" t="str">
        <f ca="1">IFERROR(INDEX(UNSPSCDes,MATCH(INDIRECT(ADDRESS(ROW(),COLUMN()-1,4)),UNSPSCCode,0)),IF(INDIRECT(ADDRESS(ROW(),COLUMN()-1,4))="50161509","Azucares naturales o productos endulzantes",""))</f>
        <v>Azucares naturales o productos endulzantes</v>
      </c>
      <c r="C227" s="32" t="str">
        <f>IFERROR(VLOOKUP("UD",'[1]Informacion '!P:Q,2,FALSE),"")</f>
        <v>Unidad</v>
      </c>
      <c r="D227" s="30">
        <v>24</v>
      </c>
      <c r="E227" s="33">
        <v>180</v>
      </c>
      <c r="F227" s="34">
        <f ca="1">INDIRECT(ADDRESS(ROW(),COLUMN()-2,4))*INDIRECT(ADDRESS(ROW(),COLUMN()-1,4))</f>
        <v>4320</v>
      </c>
      <c r="G227" s="21"/>
    </row>
    <row r="228" spans="1:7" ht="16.5" x14ac:dyDescent="0.25">
      <c r="A228" s="21"/>
      <c r="B228" s="21"/>
      <c r="C228" s="21"/>
      <c r="D228" s="21"/>
      <c r="E228" s="35" t="s">
        <v>48</v>
      </c>
      <c r="F228" s="36">
        <f ca="1">SUM(Table14[MONTO TOTAL ESTIMADO])</f>
        <v>255300</v>
      </c>
      <c r="G228" s="21"/>
    </row>
    <row r="229" spans="1:7" ht="17.25" thickBot="1" x14ac:dyDescent="0.3">
      <c r="A229" s="21"/>
      <c r="B229" s="21"/>
      <c r="C229" s="21"/>
      <c r="D229" s="21"/>
      <c r="E229" s="21"/>
      <c r="F229" s="21"/>
      <c r="G229" s="21"/>
    </row>
    <row r="230" spans="1:7" ht="23.25" thickBot="1" x14ac:dyDescent="0.3">
      <c r="A230" s="22" t="s">
        <v>19</v>
      </c>
      <c r="B230" s="22" t="s">
        <v>20</v>
      </c>
      <c r="C230" s="22" t="s">
        <v>21</v>
      </c>
      <c r="D230" s="22" t="s">
        <v>22</v>
      </c>
      <c r="E230" s="22" t="s">
        <v>23</v>
      </c>
      <c r="F230" s="22" t="s">
        <v>24</v>
      </c>
      <c r="G230" s="21"/>
    </row>
    <row r="231" spans="1:7" ht="17.25" thickBot="1" x14ac:dyDescent="0.3">
      <c r="A231" s="23" t="s">
        <v>136</v>
      </c>
      <c r="B231" s="23" t="s">
        <v>137</v>
      </c>
      <c r="C231" s="23" t="s">
        <v>54</v>
      </c>
      <c r="D231" s="23" t="s">
        <v>28</v>
      </c>
      <c r="E231" s="23" t="s">
        <v>56</v>
      </c>
      <c r="F231" s="23"/>
      <c r="G231" s="21"/>
    </row>
    <row r="232" spans="1:7" ht="17.25" thickBot="1" x14ac:dyDescent="0.3">
      <c r="A232" s="43" t="s">
        <v>30</v>
      </c>
      <c r="B232" s="24" t="s">
        <v>31</v>
      </c>
      <c r="C232" s="25">
        <v>44621</v>
      </c>
      <c r="D232" s="43" t="s">
        <v>32</v>
      </c>
      <c r="E232" s="26" t="s">
        <v>33</v>
      </c>
      <c r="F232" s="27" t="s">
        <v>34</v>
      </c>
      <c r="G232" s="21"/>
    </row>
    <row r="233" spans="1:7" ht="17.25" thickBot="1" x14ac:dyDescent="0.3">
      <c r="A233" s="44"/>
      <c r="B233" s="24" t="s">
        <v>35</v>
      </c>
      <c r="C233" s="28">
        <f>IF(C232="","",IF(AND(MONTH(C232)&gt;=1,MONTH(C232)&lt;=3),1,IF(AND(MONTH(C232)&gt;=4,MONTH(C232)&lt;=6),2,IF(AND(MONTH(C232)&gt;=7,MONTH(C232)&lt;=9),3,4))))</f>
        <v>1</v>
      </c>
      <c r="D233" s="44"/>
      <c r="E233" s="26" t="s">
        <v>36</v>
      </c>
      <c r="F233" s="27" t="s">
        <v>37</v>
      </c>
      <c r="G233" s="21"/>
    </row>
    <row r="234" spans="1:7" ht="17.25" thickBot="1" x14ac:dyDescent="0.3">
      <c r="A234" s="44"/>
      <c r="B234" s="24" t="s">
        <v>38</v>
      </c>
      <c r="C234" s="25">
        <v>44630</v>
      </c>
      <c r="D234" s="44"/>
      <c r="E234" s="26" t="s">
        <v>39</v>
      </c>
      <c r="F234" s="27"/>
      <c r="G234" s="21"/>
    </row>
    <row r="235" spans="1:7" ht="17.25" thickBot="1" x14ac:dyDescent="0.3">
      <c r="A235" s="44"/>
      <c r="B235" s="24" t="s">
        <v>35</v>
      </c>
      <c r="C235" s="28">
        <f>IF(C234="","",IF(AND(MONTH(C234)&gt;=1,MONTH(C234)&lt;=3),1,IF(AND(MONTH(C234)&gt;=4,MONTH(C234)&lt;=6),2,IF(AND(MONTH(C234)&gt;=7,MONTH(C234)&lt;=9),3,4))))</f>
        <v>1</v>
      </c>
      <c r="D235" s="44"/>
      <c r="E235" s="26" t="s">
        <v>40</v>
      </c>
      <c r="F235" s="27"/>
      <c r="G235" s="21"/>
    </row>
    <row r="236" spans="1:7" ht="17.25" thickBot="1" x14ac:dyDescent="0.3">
      <c r="A236" s="21"/>
      <c r="B236" s="21"/>
      <c r="C236" s="21"/>
      <c r="D236" s="21"/>
      <c r="E236" s="21"/>
      <c r="F236" s="21"/>
      <c r="G236" s="21"/>
    </row>
    <row r="237" spans="1:7" ht="17.25" thickBot="1" x14ac:dyDescent="0.3">
      <c r="A237" s="29" t="s">
        <v>41</v>
      </c>
      <c r="B237" s="29" t="s">
        <v>42</v>
      </c>
      <c r="C237" s="29" t="s">
        <v>43</v>
      </c>
      <c r="D237" s="29" t="s">
        <v>44</v>
      </c>
      <c r="E237" s="29" t="s">
        <v>45</v>
      </c>
      <c r="F237" s="29" t="s">
        <v>46</v>
      </c>
      <c r="G237" s="21"/>
    </row>
    <row r="238" spans="1:7" ht="16.5" x14ac:dyDescent="0.25">
      <c r="A238" s="30" t="s">
        <v>138</v>
      </c>
      <c r="B238" s="31" t="str">
        <f ca="1">IFERROR(INDEX(UNSPSCDes,MATCH(INDIRECT(ADDRESS(ROW(),COLUMN()-1,4)),UNSPSCCode,0)),IF(INDIRECT(ADDRESS(ROW(),COLUMN()-1,4))="45121504","Cámaras digitales",""))</f>
        <v>Cámaras digitales</v>
      </c>
      <c r="C238" s="32" t="str">
        <f>IFERROR(VLOOKUP("UD",'[1]Informacion '!P:Q,2,FALSE),"")</f>
        <v>Unidad</v>
      </c>
      <c r="D238" s="30">
        <v>6</v>
      </c>
      <c r="E238" s="33">
        <v>88000</v>
      </c>
      <c r="F238" s="34">
        <f ca="1">INDIRECT(ADDRESS(ROW(),COLUMN()-2,4))*INDIRECT(ADDRESS(ROW(),COLUMN()-1,4))</f>
        <v>528000</v>
      </c>
      <c r="G238" s="21"/>
    </row>
    <row r="239" spans="1:7" ht="16.5" x14ac:dyDescent="0.25">
      <c r="A239" s="30" t="s">
        <v>138</v>
      </c>
      <c r="B239" s="31" t="str">
        <f ca="1">IFERROR(INDEX(UNSPSCDes,MATCH(INDIRECT(ADDRESS(ROW(),COLUMN()-1,4)),UNSPSCCode,0)),IF(INDIRECT(ADDRESS(ROW(),COLUMN()-1,4))="45121504","Cámaras digitales",""))</f>
        <v>Cámaras digitales</v>
      </c>
      <c r="C239" s="32" t="str">
        <f>IFERROR(VLOOKUP("UD",'[1]Informacion '!P:Q,2,FALSE),"")</f>
        <v>Unidad</v>
      </c>
      <c r="D239" s="30">
        <v>2</v>
      </c>
      <c r="E239" s="33">
        <v>30000</v>
      </c>
      <c r="F239" s="34">
        <f ca="1">INDIRECT(ADDRESS(ROW(),COLUMN()-2,4))*INDIRECT(ADDRESS(ROW(),COLUMN()-1,4))</f>
        <v>60000</v>
      </c>
      <c r="G239" s="21"/>
    </row>
    <row r="240" spans="1:7" ht="16.5" x14ac:dyDescent="0.25">
      <c r="A240" s="30" t="s">
        <v>139</v>
      </c>
      <c r="B240" s="31" t="str">
        <f ca="1">IFERROR(INDEX(UNSPSCDes,MATCH(INDIRECT(ADDRESS(ROW(),COLUMN()-1,4)),UNSPSCCode,0)),IF(INDIRECT(ADDRESS(ROW(),COLUMN()-1,4))="45121520","Cámaras de web",""))</f>
        <v>Cámaras de web</v>
      </c>
      <c r="C240" s="32" t="str">
        <f>IFERROR(VLOOKUP("UD",'[1]Informacion '!P:Q,2,FALSE),"")</f>
        <v>Unidad</v>
      </c>
      <c r="D240" s="30">
        <v>1</v>
      </c>
      <c r="E240" s="33">
        <v>2500</v>
      </c>
      <c r="F240" s="34">
        <f ca="1">INDIRECT(ADDRESS(ROW(),COLUMN()-2,4))*INDIRECT(ADDRESS(ROW(),COLUMN()-1,4))</f>
        <v>2500</v>
      </c>
      <c r="G240" s="21"/>
    </row>
    <row r="241" spans="1:7" ht="16.5" x14ac:dyDescent="0.25">
      <c r="A241" s="21"/>
      <c r="B241" s="21"/>
      <c r="C241" s="21"/>
      <c r="D241" s="21"/>
      <c r="E241" s="35" t="s">
        <v>48</v>
      </c>
      <c r="F241" s="36">
        <f ca="1">SUM(Table15[MONTO TOTAL ESTIMADO])</f>
        <v>590500</v>
      </c>
      <c r="G241" s="21"/>
    </row>
    <row r="242" spans="1:7" ht="17.25" thickBot="1" x14ac:dyDescent="0.3">
      <c r="A242" s="21"/>
      <c r="B242" s="21"/>
      <c r="C242" s="21"/>
      <c r="D242" s="21"/>
      <c r="E242" s="21"/>
      <c r="F242" s="21"/>
      <c r="G242" s="21"/>
    </row>
    <row r="243" spans="1:7" ht="23.25" thickBot="1" x14ac:dyDescent="0.3">
      <c r="A243" s="22" t="s">
        <v>19</v>
      </c>
      <c r="B243" s="22" t="s">
        <v>20</v>
      </c>
      <c r="C243" s="22" t="s">
        <v>21</v>
      </c>
      <c r="D243" s="22" t="s">
        <v>22</v>
      </c>
      <c r="E243" s="22" t="s">
        <v>23</v>
      </c>
      <c r="F243" s="22" t="s">
        <v>24</v>
      </c>
      <c r="G243" s="21"/>
    </row>
    <row r="244" spans="1:7" ht="17.25" thickBot="1" x14ac:dyDescent="0.3">
      <c r="A244" s="23" t="s">
        <v>140</v>
      </c>
      <c r="B244" s="23" t="s">
        <v>141</v>
      </c>
      <c r="C244" s="23" t="s">
        <v>54</v>
      </c>
      <c r="D244" s="23" t="s">
        <v>28</v>
      </c>
      <c r="E244" s="23" t="s">
        <v>29</v>
      </c>
      <c r="F244" s="23"/>
      <c r="G244" s="21"/>
    </row>
    <row r="245" spans="1:7" ht="17.25" thickBot="1" x14ac:dyDescent="0.3">
      <c r="A245" s="43" t="s">
        <v>30</v>
      </c>
      <c r="B245" s="24" t="s">
        <v>31</v>
      </c>
      <c r="C245" s="25">
        <v>44685</v>
      </c>
      <c r="D245" s="43" t="s">
        <v>32</v>
      </c>
      <c r="E245" s="26" t="s">
        <v>33</v>
      </c>
      <c r="F245" s="27" t="s">
        <v>34</v>
      </c>
      <c r="G245" s="21"/>
    </row>
    <row r="246" spans="1:7" ht="17.25" thickBot="1" x14ac:dyDescent="0.3">
      <c r="A246" s="44"/>
      <c r="B246" s="24" t="s">
        <v>35</v>
      </c>
      <c r="C246" s="28">
        <f>IF(C245="","",IF(AND(MONTH(C245)&gt;=1,MONTH(C245)&lt;=3),1,IF(AND(MONTH(C245)&gt;=4,MONTH(C245)&lt;=6),2,IF(AND(MONTH(C245)&gt;=7,MONTH(C245)&lt;=9),3,4))))</f>
        <v>2</v>
      </c>
      <c r="D246" s="44"/>
      <c r="E246" s="26" t="s">
        <v>36</v>
      </c>
      <c r="F246" s="27" t="s">
        <v>37</v>
      </c>
      <c r="G246" s="21"/>
    </row>
    <row r="247" spans="1:7" ht="17.25" thickBot="1" x14ac:dyDescent="0.3">
      <c r="A247" s="44"/>
      <c r="B247" s="24" t="s">
        <v>38</v>
      </c>
      <c r="C247" s="25">
        <v>44692</v>
      </c>
      <c r="D247" s="44"/>
      <c r="E247" s="26" t="s">
        <v>39</v>
      </c>
      <c r="F247" s="27"/>
      <c r="G247" s="21"/>
    </row>
    <row r="248" spans="1:7" ht="17.25" thickBot="1" x14ac:dyDescent="0.3">
      <c r="A248" s="44"/>
      <c r="B248" s="24" t="s">
        <v>35</v>
      </c>
      <c r="C248" s="28">
        <f>IF(C247="","",IF(AND(MONTH(C247)&gt;=1,MONTH(C247)&lt;=3),1,IF(AND(MONTH(C247)&gt;=4,MONTH(C247)&lt;=6),2,IF(AND(MONTH(C247)&gt;=7,MONTH(C247)&lt;=9),3,4))))</f>
        <v>2</v>
      </c>
      <c r="D248" s="44"/>
      <c r="E248" s="26" t="s">
        <v>40</v>
      </c>
      <c r="F248" s="27"/>
      <c r="G248" s="21"/>
    </row>
    <row r="249" spans="1:7" ht="17.25" thickBot="1" x14ac:dyDescent="0.3">
      <c r="A249" s="21"/>
      <c r="B249" s="21"/>
      <c r="C249" s="21"/>
      <c r="D249" s="21"/>
      <c r="E249" s="21"/>
      <c r="F249" s="21"/>
      <c r="G249" s="21"/>
    </row>
    <row r="250" spans="1:7" ht="17.25" thickBot="1" x14ac:dyDescent="0.3">
      <c r="A250" s="29" t="s">
        <v>41</v>
      </c>
      <c r="B250" s="29" t="s">
        <v>42</v>
      </c>
      <c r="C250" s="29" t="s">
        <v>43</v>
      </c>
      <c r="D250" s="29" t="s">
        <v>44</v>
      </c>
      <c r="E250" s="29" t="s">
        <v>45</v>
      </c>
      <c r="F250" s="29" t="s">
        <v>46</v>
      </c>
      <c r="G250" s="21"/>
    </row>
    <row r="251" spans="1:7" ht="16.5" x14ac:dyDescent="0.25">
      <c r="A251" s="30" t="s">
        <v>142</v>
      </c>
      <c r="B251" s="31" t="str">
        <f ca="1">IFERROR(INDEX(UNSPSCDes,MATCH(INDIRECT(ADDRESS(ROW(),COLUMN()-1,4)),UNSPSCCode,0)),IF(INDIRECT(ADDRESS(ROW(),COLUMN()-1,4))="56112102","Sillas para grupos de trabajo",""))</f>
        <v>Sillas para grupos de trabajo</v>
      </c>
      <c r="C251" s="32" t="str">
        <f>IFERROR(VLOOKUP("UD",'[1]Informacion '!P:Q,2,FALSE),"")</f>
        <v>Unidad</v>
      </c>
      <c r="D251" s="30">
        <v>10</v>
      </c>
      <c r="E251" s="33">
        <v>7500</v>
      </c>
      <c r="F251" s="34">
        <f t="shared" ref="F251:F258" ca="1" si="4">INDIRECT(ADDRESS(ROW(),COLUMN()-2,4))*INDIRECT(ADDRESS(ROW(),COLUMN()-1,4))</f>
        <v>75000</v>
      </c>
      <c r="G251" s="21"/>
    </row>
    <row r="252" spans="1:7" ht="16.5" x14ac:dyDescent="0.25">
      <c r="A252" s="30" t="s">
        <v>143</v>
      </c>
      <c r="B252" s="31" t="str">
        <f ca="1">IFERROR(INDEX(UNSPSCDes,MATCH(INDIRECT(ADDRESS(ROW(),COLUMN()-1,4)),UNSPSCCode,0)),IF(INDIRECT(ADDRESS(ROW(),COLUMN()-1,4))="56112109","Bancos",""))</f>
        <v>Bancos</v>
      </c>
      <c r="C252" s="32" t="str">
        <f>IFERROR(VLOOKUP("UD",'[1]Informacion '!P:Q,2,FALSE),"")</f>
        <v>Unidad</v>
      </c>
      <c r="D252" s="30">
        <v>3</v>
      </c>
      <c r="E252" s="33">
        <v>12500</v>
      </c>
      <c r="F252" s="34">
        <f t="shared" ca="1" si="4"/>
        <v>37500</v>
      </c>
      <c r="G252" s="21"/>
    </row>
    <row r="253" spans="1:7" ht="16.5" x14ac:dyDescent="0.25">
      <c r="A253" s="30" t="s">
        <v>144</v>
      </c>
      <c r="B253" s="31" t="str">
        <f ca="1">IFERROR(INDEX(UNSPSCDes,MATCH(INDIRECT(ADDRESS(ROW(),COLUMN()-1,4)),UNSPSCCode,0)),IF(INDIRECT(ADDRESS(ROW(),COLUMN()-1,4))="56101522","Sillas de brazos",""))</f>
        <v>Sillas de brazos</v>
      </c>
      <c r="C253" s="32" t="str">
        <f>IFERROR(VLOOKUP("UD",'[1]Informacion '!P:Q,2,FALSE),"")</f>
        <v>Unidad</v>
      </c>
      <c r="D253" s="30">
        <v>11</v>
      </c>
      <c r="E253" s="33">
        <v>8500</v>
      </c>
      <c r="F253" s="34">
        <f t="shared" ca="1" si="4"/>
        <v>93500</v>
      </c>
      <c r="G253" s="21"/>
    </row>
    <row r="254" spans="1:7" ht="16.5" x14ac:dyDescent="0.25">
      <c r="A254" s="30" t="s">
        <v>145</v>
      </c>
      <c r="B254" s="31" t="str">
        <f ca="1">IFERROR(INDEX(UNSPSCDes,MATCH(INDIRECT(ADDRESS(ROW(),COLUMN()-1,4)),UNSPSCCode,0)),IF(INDIRECT(ADDRESS(ROW(),COLUMN()-1,4))="56101701","Cajoneras o estanterías",""))</f>
        <v>Cajoneras o estanterías</v>
      </c>
      <c r="C254" s="32" t="str">
        <f>IFERROR(VLOOKUP("UD",'[1]Informacion '!P:Q,2,FALSE),"")</f>
        <v>Unidad</v>
      </c>
      <c r="D254" s="30">
        <v>9</v>
      </c>
      <c r="E254" s="33">
        <v>7000</v>
      </c>
      <c r="F254" s="34">
        <f t="shared" ca="1" si="4"/>
        <v>63000</v>
      </c>
      <c r="G254" s="21"/>
    </row>
    <row r="255" spans="1:7" ht="16.5" x14ac:dyDescent="0.25">
      <c r="A255" s="30" t="s">
        <v>146</v>
      </c>
      <c r="B255" s="31" t="str">
        <f ca="1">IFERROR(INDEX(UNSPSCDes,MATCH(INDIRECT(ADDRESS(ROW(),COLUMN()-1,4)),UNSPSCCode,0)),IF(INDIRECT(ADDRESS(ROW(),COLUMN()-1,4))="56101702","Gabinetes de archivo o accesorios",""))</f>
        <v>Gabinetes de archivo o accesorios</v>
      </c>
      <c r="C255" s="32" t="str">
        <f>IFERROR(VLOOKUP("UD",'[1]Informacion '!P:Q,2,FALSE),"")</f>
        <v>Unidad</v>
      </c>
      <c r="D255" s="30">
        <v>10</v>
      </c>
      <c r="E255" s="33">
        <v>10000</v>
      </c>
      <c r="F255" s="34">
        <f t="shared" ca="1" si="4"/>
        <v>100000</v>
      </c>
      <c r="G255" s="21"/>
    </row>
    <row r="256" spans="1:7" ht="16.5" x14ac:dyDescent="0.25">
      <c r="A256" s="30" t="s">
        <v>147</v>
      </c>
      <c r="B256" s="31" t="str">
        <f ca="1">IFERROR(INDEX(UNSPSCDes,MATCH(INDIRECT(ADDRESS(ROW(),COLUMN()-1,4)),UNSPSCCode,0)),IF(INDIRECT(ADDRESS(ROW(),COLUMN()-1,4))="56101703","Escritorios",""))</f>
        <v>Escritorios</v>
      </c>
      <c r="C256" s="32" t="str">
        <f>IFERROR(VLOOKUP("UD",'[1]Informacion '!P:Q,2,FALSE),"")</f>
        <v>Unidad</v>
      </c>
      <c r="D256" s="30">
        <v>5</v>
      </c>
      <c r="E256" s="33">
        <v>12500</v>
      </c>
      <c r="F256" s="34">
        <f t="shared" ca="1" si="4"/>
        <v>62500</v>
      </c>
      <c r="G256" s="21"/>
    </row>
    <row r="257" spans="1:7" ht="16.5" x14ac:dyDescent="0.25">
      <c r="A257" s="30" t="s">
        <v>146</v>
      </c>
      <c r="B257" s="31" t="str">
        <f ca="1">IFERROR(INDEX(UNSPSCDes,MATCH(INDIRECT(ADDRESS(ROW(),COLUMN()-1,4)),UNSPSCCode,0)),IF(INDIRECT(ADDRESS(ROW(),COLUMN()-1,4))="56101702","Gabinetes de archivo o accesorios",""))</f>
        <v>Gabinetes de archivo o accesorios</v>
      </c>
      <c r="C257" s="32" t="str">
        <f>IFERROR(VLOOKUP("UD",'[1]Informacion '!P:Q,2,FALSE),"")</f>
        <v>Unidad</v>
      </c>
      <c r="D257" s="30">
        <v>15</v>
      </c>
      <c r="E257" s="33">
        <v>6500</v>
      </c>
      <c r="F257" s="34">
        <f t="shared" ca="1" si="4"/>
        <v>97500</v>
      </c>
      <c r="G257" s="21"/>
    </row>
    <row r="258" spans="1:7" ht="16.5" x14ac:dyDescent="0.25">
      <c r="A258" s="30" t="s">
        <v>148</v>
      </c>
      <c r="B258" s="31" t="str">
        <f ca="1">IFERROR(INDEX(UNSPSCDes,MATCH(INDIRECT(ADDRESS(ROW(),COLUMN()-1,4)),UNSPSCCode,0)),IF(INDIRECT(ADDRESS(ROW(),COLUMN()-1,4))="56101706","Mesas de conferencia",""))</f>
        <v>Mesas de conferencia</v>
      </c>
      <c r="C258" s="32" t="str">
        <f>IFERROR(VLOOKUP("UD",'[1]Informacion '!P:Q,2,FALSE),"")</f>
        <v>Unidad</v>
      </c>
      <c r="D258" s="30">
        <v>1</v>
      </c>
      <c r="E258" s="33">
        <v>47000</v>
      </c>
      <c r="F258" s="34">
        <f t="shared" ca="1" si="4"/>
        <v>47000</v>
      </c>
      <c r="G258" s="21"/>
    </row>
    <row r="259" spans="1:7" ht="16.5" x14ac:dyDescent="0.25">
      <c r="A259" s="21"/>
      <c r="B259" s="21"/>
      <c r="C259" s="21"/>
      <c r="D259" s="21"/>
      <c r="E259" s="35" t="s">
        <v>48</v>
      </c>
      <c r="F259" s="36">
        <f ca="1">SUM(Table16[MONTO TOTAL ESTIMADO])</f>
        <v>576000</v>
      </c>
      <c r="G259" s="21"/>
    </row>
    <row r="260" spans="1:7" ht="17.25" thickBot="1" x14ac:dyDescent="0.3">
      <c r="A260" s="21"/>
      <c r="B260" s="21"/>
      <c r="C260" s="21"/>
      <c r="D260" s="21"/>
      <c r="E260" s="21"/>
      <c r="F260" s="21"/>
      <c r="G260" s="21"/>
    </row>
    <row r="261" spans="1:7" ht="23.25" thickBot="1" x14ac:dyDescent="0.3">
      <c r="A261" s="22" t="s">
        <v>19</v>
      </c>
      <c r="B261" s="22" t="s">
        <v>20</v>
      </c>
      <c r="C261" s="22" t="s">
        <v>21</v>
      </c>
      <c r="D261" s="22" t="s">
        <v>22</v>
      </c>
      <c r="E261" s="22" t="s">
        <v>23</v>
      </c>
      <c r="F261" s="22" t="s">
        <v>24</v>
      </c>
      <c r="G261" s="21"/>
    </row>
    <row r="262" spans="1:7" ht="17.25" thickBot="1" x14ac:dyDescent="0.3">
      <c r="A262" s="23" t="s">
        <v>149</v>
      </c>
      <c r="B262" s="23" t="s">
        <v>150</v>
      </c>
      <c r="C262" s="23" t="s">
        <v>54</v>
      </c>
      <c r="D262" s="23" t="s">
        <v>60</v>
      </c>
      <c r="E262" s="23" t="s">
        <v>56</v>
      </c>
      <c r="F262" s="23"/>
      <c r="G262" s="21"/>
    </row>
    <row r="263" spans="1:7" ht="17.25" thickBot="1" x14ac:dyDescent="0.3">
      <c r="A263" s="43" t="s">
        <v>30</v>
      </c>
      <c r="B263" s="24" t="s">
        <v>31</v>
      </c>
      <c r="C263" s="25">
        <v>44656</v>
      </c>
      <c r="D263" s="43" t="s">
        <v>32</v>
      </c>
      <c r="E263" s="26" t="s">
        <v>33</v>
      </c>
      <c r="F263" s="27" t="s">
        <v>34</v>
      </c>
      <c r="G263" s="21"/>
    </row>
    <row r="264" spans="1:7" ht="17.25" thickBot="1" x14ac:dyDescent="0.3">
      <c r="A264" s="44"/>
      <c r="B264" s="24" t="s">
        <v>35</v>
      </c>
      <c r="C264" s="28">
        <f>IF(C263="","",IF(AND(MONTH(C263)&gt;=1,MONTH(C263)&lt;=3),1,IF(AND(MONTH(C263)&gt;=4,MONTH(C263)&lt;=6),2,IF(AND(MONTH(C263)&gt;=7,MONTH(C263)&lt;=9),3,4))))</f>
        <v>2</v>
      </c>
      <c r="D264" s="44"/>
      <c r="E264" s="26" t="s">
        <v>36</v>
      </c>
      <c r="F264" s="27" t="s">
        <v>37</v>
      </c>
      <c r="G264" s="21"/>
    </row>
    <row r="265" spans="1:7" ht="17.25" thickBot="1" x14ac:dyDescent="0.3">
      <c r="A265" s="44"/>
      <c r="B265" s="24" t="s">
        <v>38</v>
      </c>
      <c r="C265" s="25">
        <v>44663</v>
      </c>
      <c r="D265" s="44"/>
      <c r="E265" s="26" t="s">
        <v>39</v>
      </c>
      <c r="F265" s="27"/>
      <c r="G265" s="21"/>
    </row>
    <row r="266" spans="1:7" ht="17.25" thickBot="1" x14ac:dyDescent="0.3">
      <c r="A266" s="44"/>
      <c r="B266" s="24" t="s">
        <v>35</v>
      </c>
      <c r="C266" s="28">
        <f>IF(C265="","",IF(AND(MONTH(C265)&gt;=1,MONTH(C265)&lt;=3),1,IF(AND(MONTH(C265)&gt;=4,MONTH(C265)&lt;=6),2,IF(AND(MONTH(C265)&gt;=7,MONTH(C265)&lt;=9),3,4))))</f>
        <v>2</v>
      </c>
      <c r="D266" s="44"/>
      <c r="E266" s="26" t="s">
        <v>40</v>
      </c>
      <c r="F266" s="27"/>
      <c r="G266" s="21"/>
    </row>
    <row r="267" spans="1:7" ht="17.25" thickBot="1" x14ac:dyDescent="0.3">
      <c r="A267" s="21"/>
      <c r="B267" s="21"/>
      <c r="C267" s="21"/>
      <c r="D267" s="21"/>
      <c r="E267" s="21"/>
      <c r="F267" s="21"/>
      <c r="G267" s="21"/>
    </row>
    <row r="268" spans="1:7" ht="17.25" thickBot="1" x14ac:dyDescent="0.3">
      <c r="A268" s="29" t="s">
        <v>41</v>
      </c>
      <c r="B268" s="29" t="s">
        <v>42</v>
      </c>
      <c r="C268" s="29" t="s">
        <v>43</v>
      </c>
      <c r="D268" s="29" t="s">
        <v>44</v>
      </c>
      <c r="E268" s="29" t="s">
        <v>45</v>
      </c>
      <c r="F268" s="29" t="s">
        <v>46</v>
      </c>
      <c r="G268" s="21"/>
    </row>
    <row r="269" spans="1:7" ht="16.5" x14ac:dyDescent="0.25">
      <c r="A269" s="30" t="s">
        <v>151</v>
      </c>
      <c r="B269" s="31" t="str">
        <f ca="1">IFERROR(INDEX(UNSPSCDes,MATCH(INDIRECT(ADDRESS(ROW(),COLUMN()-1,4)),UNSPSCCode,0)),IF(INDIRECT(ADDRESS(ROW(),COLUMN()-1,4))="14111608","Certificados de regalo",""))</f>
        <v>Certificados de regalo</v>
      </c>
      <c r="C269" s="32" t="str">
        <f>IFERROR(VLOOKUP("UD",'[1]Informacion '!P:Q,2,FALSE),"")</f>
        <v>Unidad</v>
      </c>
      <c r="D269" s="30">
        <v>50</v>
      </c>
      <c r="E269" s="33">
        <v>1000</v>
      </c>
      <c r="F269" s="34">
        <f ca="1">INDIRECT(ADDRESS(ROW(),COLUMN()-2,4))*INDIRECT(ADDRESS(ROW(),COLUMN()-1,4))</f>
        <v>50000</v>
      </c>
      <c r="G269" s="21"/>
    </row>
    <row r="270" spans="1:7" ht="16.5" x14ac:dyDescent="0.25">
      <c r="A270" s="30" t="s">
        <v>151</v>
      </c>
      <c r="B270" s="31" t="str">
        <f ca="1">IFERROR(INDEX(UNSPSCDes,MATCH(INDIRECT(ADDRESS(ROW(),COLUMN()-1,4)),UNSPSCCode,0)),IF(INDIRECT(ADDRESS(ROW(),COLUMN()-1,4))="14111608","Certificados de regalo",""))</f>
        <v>Certificados de regalo</v>
      </c>
      <c r="C270" s="32" t="str">
        <f>IFERROR(VLOOKUP("UD",'[1]Informacion '!P:Q,2,FALSE),"")</f>
        <v>Unidad</v>
      </c>
      <c r="D270" s="30">
        <v>1000</v>
      </c>
      <c r="E270" s="33">
        <v>1000</v>
      </c>
      <c r="F270" s="34">
        <f ca="1">INDIRECT(ADDRESS(ROW(),COLUMN()-2,4))*INDIRECT(ADDRESS(ROW(),COLUMN()-1,4))</f>
        <v>1000000</v>
      </c>
      <c r="G270" s="21"/>
    </row>
    <row r="271" spans="1:7" ht="16.5" x14ac:dyDescent="0.25">
      <c r="A271" s="30" t="s">
        <v>151</v>
      </c>
      <c r="B271" s="31" t="str">
        <f ca="1">IFERROR(INDEX(UNSPSCDes,MATCH(INDIRECT(ADDRESS(ROW(),COLUMN()-1,4)),UNSPSCCode,0)),IF(INDIRECT(ADDRESS(ROW(),COLUMN()-1,4))="14111608","Certificados de regalo",""))</f>
        <v>Certificados de regalo</v>
      </c>
      <c r="C271" s="32" t="str">
        <f>IFERROR(VLOOKUP("UD",'[1]Informacion '!P:Q,2,FALSE),"")</f>
        <v>Unidad</v>
      </c>
      <c r="D271" s="30">
        <v>3500</v>
      </c>
      <c r="E271" s="33">
        <v>1000</v>
      </c>
      <c r="F271" s="34">
        <f ca="1">INDIRECT(ADDRESS(ROW(),COLUMN()-2,4))*INDIRECT(ADDRESS(ROW(),COLUMN()-1,4))</f>
        <v>3500000</v>
      </c>
      <c r="G271" s="21"/>
    </row>
    <row r="272" spans="1:7" ht="16.5" x14ac:dyDescent="0.25">
      <c r="A272" s="21"/>
      <c r="B272" s="21"/>
      <c r="C272" s="21"/>
      <c r="D272" s="21"/>
      <c r="E272" s="35" t="s">
        <v>48</v>
      </c>
      <c r="F272" s="36">
        <f ca="1">SUM(Table17[MONTO TOTAL ESTIMADO])</f>
        <v>4550000</v>
      </c>
      <c r="G272" s="21"/>
    </row>
    <row r="273" spans="1:7" ht="17.25" thickBot="1" x14ac:dyDescent="0.3">
      <c r="A273" s="21"/>
      <c r="B273" s="21"/>
      <c r="C273" s="21"/>
      <c r="D273" s="21"/>
      <c r="E273" s="21"/>
      <c r="F273" s="21"/>
      <c r="G273" s="21"/>
    </row>
    <row r="274" spans="1:7" ht="23.25" thickBot="1" x14ac:dyDescent="0.3">
      <c r="A274" s="22" t="s">
        <v>19</v>
      </c>
      <c r="B274" s="22" t="s">
        <v>20</v>
      </c>
      <c r="C274" s="22" t="s">
        <v>21</v>
      </c>
      <c r="D274" s="22" t="s">
        <v>22</v>
      </c>
      <c r="E274" s="22" t="s">
        <v>23</v>
      </c>
      <c r="F274" s="22" t="s">
        <v>24</v>
      </c>
      <c r="G274" s="21"/>
    </row>
    <row r="275" spans="1:7" ht="17.25" thickBot="1" x14ac:dyDescent="0.3">
      <c r="A275" s="23" t="s">
        <v>149</v>
      </c>
      <c r="B275" s="23" t="s">
        <v>152</v>
      </c>
      <c r="C275" s="23" t="s">
        <v>54</v>
      </c>
      <c r="D275" s="23" t="s">
        <v>60</v>
      </c>
      <c r="E275" s="23" t="s">
        <v>56</v>
      </c>
      <c r="F275" s="23"/>
      <c r="G275" s="21"/>
    </row>
    <row r="276" spans="1:7" ht="17.25" thickBot="1" x14ac:dyDescent="0.3">
      <c r="A276" s="43" t="s">
        <v>30</v>
      </c>
      <c r="B276" s="24" t="s">
        <v>31</v>
      </c>
      <c r="C276" s="25">
        <v>44746</v>
      </c>
      <c r="D276" s="43" t="s">
        <v>32</v>
      </c>
      <c r="E276" s="26" t="s">
        <v>33</v>
      </c>
      <c r="F276" s="27" t="s">
        <v>34</v>
      </c>
      <c r="G276" s="21"/>
    </row>
    <row r="277" spans="1:7" ht="17.25" thickBot="1" x14ac:dyDescent="0.3">
      <c r="A277" s="44"/>
      <c r="B277" s="24" t="s">
        <v>35</v>
      </c>
      <c r="C277" s="28">
        <f>IF(C276="","",IF(AND(MONTH(C276)&gt;=1,MONTH(C276)&lt;=3),1,IF(AND(MONTH(C276)&gt;=4,MONTH(C276)&lt;=6),2,IF(AND(MONTH(C276)&gt;=7,MONTH(C276)&lt;=9),3,4))))</f>
        <v>3</v>
      </c>
      <c r="D277" s="44"/>
      <c r="E277" s="26" t="s">
        <v>36</v>
      </c>
      <c r="F277" s="27" t="s">
        <v>37</v>
      </c>
      <c r="G277" s="21"/>
    </row>
    <row r="278" spans="1:7" ht="17.25" thickBot="1" x14ac:dyDescent="0.3">
      <c r="A278" s="44"/>
      <c r="B278" s="24" t="s">
        <v>38</v>
      </c>
      <c r="C278" s="25">
        <v>44753</v>
      </c>
      <c r="D278" s="44"/>
      <c r="E278" s="26" t="s">
        <v>39</v>
      </c>
      <c r="F278" s="27"/>
      <c r="G278" s="21"/>
    </row>
    <row r="279" spans="1:7" ht="17.25" thickBot="1" x14ac:dyDescent="0.3">
      <c r="A279" s="44"/>
      <c r="B279" s="24" t="s">
        <v>35</v>
      </c>
      <c r="C279" s="28">
        <f>IF(C278="","",IF(AND(MONTH(C278)&gt;=1,MONTH(C278)&lt;=3),1,IF(AND(MONTH(C278)&gt;=4,MONTH(C278)&lt;=6),2,IF(AND(MONTH(C278)&gt;=7,MONTH(C278)&lt;=9),3,4))))</f>
        <v>3</v>
      </c>
      <c r="D279" s="44"/>
      <c r="E279" s="26" t="s">
        <v>40</v>
      </c>
      <c r="F279" s="27"/>
      <c r="G279" s="21"/>
    </row>
    <row r="280" spans="1:7" ht="17.25" thickBot="1" x14ac:dyDescent="0.3">
      <c r="A280" s="21"/>
      <c r="B280" s="21"/>
      <c r="C280" s="21"/>
      <c r="D280" s="21"/>
      <c r="E280" s="21"/>
      <c r="F280" s="21"/>
      <c r="G280" s="21"/>
    </row>
    <row r="281" spans="1:7" ht="17.25" thickBot="1" x14ac:dyDescent="0.3">
      <c r="A281" s="29" t="s">
        <v>41</v>
      </c>
      <c r="B281" s="29" t="s">
        <v>42</v>
      </c>
      <c r="C281" s="29" t="s">
        <v>43</v>
      </c>
      <c r="D281" s="29" t="s">
        <v>44</v>
      </c>
      <c r="E281" s="29" t="s">
        <v>45</v>
      </c>
      <c r="F281" s="29" t="s">
        <v>46</v>
      </c>
      <c r="G281" s="21"/>
    </row>
    <row r="282" spans="1:7" ht="16.5" x14ac:dyDescent="0.25">
      <c r="A282" s="30" t="s">
        <v>151</v>
      </c>
      <c r="B282" s="31" t="str">
        <f ca="1">IFERROR(INDEX(UNSPSCDes,MATCH(INDIRECT(ADDRESS(ROW(),COLUMN()-1,4)),UNSPSCCode,0)),IF(INDIRECT(ADDRESS(ROW(),COLUMN()-1,4))="14111608","Certificados de regalo",""))</f>
        <v>Certificados de regalo</v>
      </c>
      <c r="C282" s="32" t="str">
        <f>IFERROR(VLOOKUP("UD",'[1]Informacion '!P:Q,2,FALSE),"")</f>
        <v>Unidad</v>
      </c>
      <c r="D282" s="30">
        <v>1000</v>
      </c>
      <c r="E282" s="33">
        <v>1000</v>
      </c>
      <c r="F282" s="34">
        <f ca="1">INDIRECT(ADDRESS(ROW(),COLUMN()-2,4))*INDIRECT(ADDRESS(ROW(),COLUMN()-1,4))</f>
        <v>1000000</v>
      </c>
      <c r="G282" s="21"/>
    </row>
    <row r="283" spans="1:7" ht="16.5" x14ac:dyDescent="0.25">
      <c r="A283" s="21"/>
      <c r="B283" s="21"/>
      <c r="C283" s="21"/>
      <c r="D283" s="21"/>
      <c r="E283" s="35" t="s">
        <v>48</v>
      </c>
      <c r="F283" s="36">
        <f ca="1">SUM(Table18[MONTO TOTAL ESTIMADO])</f>
        <v>1000000</v>
      </c>
      <c r="G283" s="21"/>
    </row>
    <row r="284" spans="1:7" ht="17.25" thickBot="1" x14ac:dyDescent="0.3">
      <c r="A284" s="21"/>
      <c r="B284" s="21"/>
      <c r="C284" s="21"/>
      <c r="D284" s="21"/>
      <c r="E284" s="21"/>
      <c r="F284" s="21"/>
      <c r="G284" s="21"/>
    </row>
    <row r="285" spans="1:7" ht="23.25" thickBot="1" x14ac:dyDescent="0.3">
      <c r="A285" s="22" t="s">
        <v>19</v>
      </c>
      <c r="B285" s="22" t="s">
        <v>20</v>
      </c>
      <c r="C285" s="22" t="s">
        <v>21</v>
      </c>
      <c r="D285" s="22" t="s">
        <v>22</v>
      </c>
      <c r="E285" s="22" t="s">
        <v>23</v>
      </c>
      <c r="F285" s="22" t="s">
        <v>24</v>
      </c>
      <c r="G285" s="21"/>
    </row>
    <row r="286" spans="1:7" ht="17.25" thickBot="1" x14ac:dyDescent="0.3">
      <c r="A286" s="23" t="s">
        <v>149</v>
      </c>
      <c r="B286" s="23" t="s">
        <v>153</v>
      </c>
      <c r="C286" s="23" t="s">
        <v>54</v>
      </c>
      <c r="D286" s="23" t="s">
        <v>60</v>
      </c>
      <c r="E286" s="23" t="s">
        <v>56</v>
      </c>
      <c r="F286" s="23"/>
      <c r="G286" s="21"/>
    </row>
    <row r="287" spans="1:7" ht="17.25" thickBot="1" x14ac:dyDescent="0.3">
      <c r="A287" s="43" t="s">
        <v>30</v>
      </c>
      <c r="B287" s="24" t="s">
        <v>31</v>
      </c>
      <c r="C287" s="25">
        <v>44837</v>
      </c>
      <c r="D287" s="43" t="s">
        <v>32</v>
      </c>
      <c r="E287" s="26" t="s">
        <v>33</v>
      </c>
      <c r="F287" s="27" t="s">
        <v>34</v>
      </c>
      <c r="G287" s="21"/>
    </row>
    <row r="288" spans="1:7" ht="17.25" thickBot="1" x14ac:dyDescent="0.3">
      <c r="A288" s="44"/>
      <c r="B288" s="24" t="s">
        <v>35</v>
      </c>
      <c r="C288" s="28">
        <f>IF(C287="","",IF(AND(MONTH(C287)&gt;=1,MONTH(C287)&lt;=3),1,IF(AND(MONTH(C287)&gt;=4,MONTH(C287)&lt;=6),2,IF(AND(MONTH(C287)&gt;=7,MONTH(C287)&lt;=9),3,4))))</f>
        <v>4</v>
      </c>
      <c r="D288" s="44"/>
      <c r="E288" s="26" t="s">
        <v>36</v>
      </c>
      <c r="F288" s="27" t="s">
        <v>37</v>
      </c>
      <c r="G288" s="21"/>
    </row>
    <row r="289" spans="1:7" ht="17.25" thickBot="1" x14ac:dyDescent="0.3">
      <c r="A289" s="44"/>
      <c r="B289" s="24" t="s">
        <v>38</v>
      </c>
      <c r="C289" s="25">
        <v>44844</v>
      </c>
      <c r="D289" s="44"/>
      <c r="E289" s="26" t="s">
        <v>39</v>
      </c>
      <c r="F289" s="27"/>
      <c r="G289" s="21"/>
    </row>
    <row r="290" spans="1:7" ht="17.25" thickBot="1" x14ac:dyDescent="0.3">
      <c r="A290" s="44"/>
      <c r="B290" s="24" t="s">
        <v>35</v>
      </c>
      <c r="C290" s="28">
        <f>IF(C289="","",IF(AND(MONTH(C289)&gt;=1,MONTH(C289)&lt;=3),1,IF(AND(MONTH(C289)&gt;=4,MONTH(C289)&lt;=6),2,IF(AND(MONTH(C289)&gt;=7,MONTH(C289)&lt;=9),3,4))))</f>
        <v>4</v>
      </c>
      <c r="D290" s="44"/>
      <c r="E290" s="26" t="s">
        <v>40</v>
      </c>
      <c r="F290" s="27"/>
      <c r="G290" s="21"/>
    </row>
    <row r="291" spans="1:7" ht="17.25" thickBot="1" x14ac:dyDescent="0.3">
      <c r="A291" s="21"/>
      <c r="B291" s="21"/>
      <c r="C291" s="21"/>
      <c r="D291" s="21"/>
      <c r="E291" s="21"/>
      <c r="F291" s="21"/>
      <c r="G291" s="21"/>
    </row>
    <row r="292" spans="1:7" ht="17.25" thickBot="1" x14ac:dyDescent="0.3">
      <c r="A292" s="29" t="s">
        <v>41</v>
      </c>
      <c r="B292" s="29" t="s">
        <v>42</v>
      </c>
      <c r="C292" s="29" t="s">
        <v>43</v>
      </c>
      <c r="D292" s="29" t="s">
        <v>44</v>
      </c>
      <c r="E292" s="29" t="s">
        <v>45</v>
      </c>
      <c r="F292" s="29" t="s">
        <v>46</v>
      </c>
      <c r="G292" s="21"/>
    </row>
    <row r="293" spans="1:7" ht="16.5" x14ac:dyDescent="0.25">
      <c r="A293" s="30" t="s">
        <v>151</v>
      </c>
      <c r="B293" s="31" t="str">
        <f ca="1">IFERROR(INDEX(UNSPSCDes,MATCH(INDIRECT(ADDRESS(ROW(),COLUMN()-1,4)),UNSPSCCode,0)),IF(INDIRECT(ADDRESS(ROW(),COLUMN()-1,4))="14111608","Certificados de regalo",""))</f>
        <v>Certificados de regalo</v>
      </c>
      <c r="C293" s="32" t="str">
        <f>IFERROR(VLOOKUP("UD",'[1]Informacion '!P:Q,2,FALSE),"")</f>
        <v>Unidad</v>
      </c>
      <c r="D293" s="30">
        <v>5000</v>
      </c>
      <c r="E293" s="33">
        <v>1000</v>
      </c>
      <c r="F293" s="34">
        <f ca="1">INDIRECT(ADDRESS(ROW(),COLUMN()-2,4))*INDIRECT(ADDRESS(ROW(),COLUMN()-1,4))</f>
        <v>5000000</v>
      </c>
      <c r="G293" s="21"/>
    </row>
    <row r="294" spans="1:7" ht="16.5" x14ac:dyDescent="0.25">
      <c r="A294" s="21"/>
      <c r="B294" s="21"/>
      <c r="C294" s="21"/>
      <c r="D294" s="21"/>
      <c r="E294" s="35" t="s">
        <v>48</v>
      </c>
      <c r="F294" s="36">
        <f ca="1">SUM(Table19[MONTO TOTAL ESTIMADO])</f>
        <v>5000000</v>
      </c>
      <c r="G294" s="21"/>
    </row>
    <row r="295" spans="1:7" ht="17.25" thickBot="1" x14ac:dyDescent="0.3">
      <c r="A295" s="21"/>
      <c r="B295" s="21"/>
      <c r="C295" s="21"/>
      <c r="D295" s="21"/>
      <c r="E295" s="21"/>
      <c r="F295" s="21"/>
      <c r="G295" s="21"/>
    </row>
    <row r="296" spans="1:7" ht="23.25" thickBot="1" x14ac:dyDescent="0.3">
      <c r="A296" s="22" t="s">
        <v>19</v>
      </c>
      <c r="B296" s="22" t="s">
        <v>20</v>
      </c>
      <c r="C296" s="22" t="s">
        <v>21</v>
      </c>
      <c r="D296" s="22" t="s">
        <v>22</v>
      </c>
      <c r="E296" s="22" t="s">
        <v>23</v>
      </c>
      <c r="F296" s="22" t="s">
        <v>24</v>
      </c>
      <c r="G296" s="21"/>
    </row>
    <row r="297" spans="1:7" ht="17.25" thickBot="1" x14ac:dyDescent="0.3">
      <c r="A297" s="23" t="s">
        <v>154</v>
      </c>
      <c r="B297" s="23" t="s">
        <v>155</v>
      </c>
      <c r="C297" s="23" t="s">
        <v>54</v>
      </c>
      <c r="D297" s="23" t="s">
        <v>28</v>
      </c>
      <c r="E297" s="23" t="s">
        <v>29</v>
      </c>
      <c r="F297" s="23"/>
      <c r="G297" s="21"/>
    </row>
    <row r="298" spans="1:7" ht="17.25" thickBot="1" x14ac:dyDescent="0.3">
      <c r="A298" s="43" t="s">
        <v>30</v>
      </c>
      <c r="B298" s="24" t="s">
        <v>31</v>
      </c>
      <c r="C298" s="25">
        <v>44621</v>
      </c>
      <c r="D298" s="43" t="s">
        <v>32</v>
      </c>
      <c r="E298" s="26" t="s">
        <v>33</v>
      </c>
      <c r="F298" s="27" t="s">
        <v>34</v>
      </c>
      <c r="G298" s="21"/>
    </row>
    <row r="299" spans="1:7" ht="17.25" thickBot="1" x14ac:dyDescent="0.3">
      <c r="A299" s="44"/>
      <c r="B299" s="24" t="s">
        <v>35</v>
      </c>
      <c r="C299" s="28">
        <f>IF(C298="","",IF(AND(MONTH(C298)&gt;=1,MONTH(C298)&lt;=3),1,IF(AND(MONTH(C298)&gt;=4,MONTH(C298)&lt;=6),2,IF(AND(MONTH(C298)&gt;=7,MONTH(C298)&lt;=9),3,4))))</f>
        <v>1</v>
      </c>
      <c r="D299" s="44"/>
      <c r="E299" s="26" t="s">
        <v>36</v>
      </c>
      <c r="F299" s="27" t="s">
        <v>37</v>
      </c>
      <c r="G299" s="21"/>
    </row>
    <row r="300" spans="1:7" ht="17.25" thickBot="1" x14ac:dyDescent="0.3">
      <c r="A300" s="44"/>
      <c r="B300" s="24" t="s">
        <v>38</v>
      </c>
      <c r="C300" s="25">
        <v>44628</v>
      </c>
      <c r="D300" s="44"/>
      <c r="E300" s="26" t="s">
        <v>39</v>
      </c>
      <c r="F300" s="27"/>
      <c r="G300" s="21"/>
    </row>
    <row r="301" spans="1:7" ht="17.25" thickBot="1" x14ac:dyDescent="0.3">
      <c r="A301" s="44"/>
      <c r="B301" s="24" t="s">
        <v>35</v>
      </c>
      <c r="C301" s="28">
        <f>IF(C300="","",IF(AND(MONTH(C300)&gt;=1,MONTH(C300)&lt;=3),1,IF(AND(MONTH(C300)&gt;=4,MONTH(C300)&lt;=6),2,IF(AND(MONTH(C300)&gt;=7,MONTH(C300)&lt;=9),3,4))))</f>
        <v>1</v>
      </c>
      <c r="D301" s="44"/>
      <c r="E301" s="26" t="s">
        <v>40</v>
      </c>
      <c r="F301" s="27"/>
      <c r="G301" s="21"/>
    </row>
    <row r="302" spans="1:7" ht="17.25" thickBot="1" x14ac:dyDescent="0.3">
      <c r="A302" s="21"/>
      <c r="B302" s="21"/>
      <c r="C302" s="21"/>
      <c r="D302" s="21"/>
      <c r="E302" s="21"/>
      <c r="F302" s="21"/>
      <c r="G302" s="21"/>
    </row>
    <row r="303" spans="1:7" ht="17.25" thickBot="1" x14ac:dyDescent="0.3">
      <c r="A303" s="29" t="s">
        <v>41</v>
      </c>
      <c r="B303" s="29" t="s">
        <v>42</v>
      </c>
      <c r="C303" s="29" t="s">
        <v>43</v>
      </c>
      <c r="D303" s="29" t="s">
        <v>44</v>
      </c>
      <c r="E303" s="29" t="s">
        <v>45</v>
      </c>
      <c r="F303" s="29" t="s">
        <v>46</v>
      </c>
      <c r="G303" s="21"/>
    </row>
    <row r="304" spans="1:7" ht="16.5" x14ac:dyDescent="0.25">
      <c r="A304" s="30" t="s">
        <v>156</v>
      </c>
      <c r="B304" s="31" t="str">
        <f ca="1">IFERROR(INDEX(UNSPSCDes,MATCH(INDIRECT(ADDRESS(ROW(),COLUMN()-1,4)),UNSPSCCode,0)),IF(INDIRECT(ADDRESS(ROW(),COLUMN()-1,4))="52141501","Neveras para uso doméstico",""))</f>
        <v>Neveras para uso doméstico</v>
      </c>
      <c r="C304" s="32" t="str">
        <f>IFERROR(VLOOKUP("UD",'[1]Informacion '!P:Q,2,FALSE),"")</f>
        <v>Unidad</v>
      </c>
      <c r="D304" s="30">
        <v>2</v>
      </c>
      <c r="E304" s="33">
        <v>16000</v>
      </c>
      <c r="F304" s="34">
        <f ca="1">INDIRECT(ADDRESS(ROW(),COLUMN()-2,4))*INDIRECT(ADDRESS(ROW(),COLUMN()-1,4))</f>
        <v>32000</v>
      </c>
      <c r="G304" s="21"/>
    </row>
    <row r="305" spans="1:7" ht="16.5" x14ac:dyDescent="0.25">
      <c r="A305" s="30" t="s">
        <v>157</v>
      </c>
      <c r="B305" s="31" t="str">
        <f ca="1">IFERROR(INDEX(UNSPSCDes,MATCH(INDIRECT(ADDRESS(ROW(),COLUMN()-1,4)),UNSPSCCode,0)),IF(INDIRECT(ADDRESS(ROW(),COLUMN()-1,4))="48101714","Dispensadores de agua caliente",""))</f>
        <v>Dispensadores de agua caliente</v>
      </c>
      <c r="C305" s="32" t="str">
        <f>IFERROR(VLOOKUP("UD",'[1]Informacion '!P:Q,2,FALSE),"")</f>
        <v>Unidad</v>
      </c>
      <c r="D305" s="30">
        <v>3</v>
      </c>
      <c r="E305" s="33">
        <v>15000</v>
      </c>
      <c r="F305" s="34">
        <f ca="1">INDIRECT(ADDRESS(ROW(),COLUMN()-2,4))*INDIRECT(ADDRESS(ROW(),COLUMN()-1,4))</f>
        <v>45000</v>
      </c>
      <c r="G305" s="21"/>
    </row>
    <row r="306" spans="1:7" ht="16.5" x14ac:dyDescent="0.25">
      <c r="A306" s="30" t="s">
        <v>158</v>
      </c>
      <c r="B306" s="31" t="str">
        <f ca="1">IFERROR(INDEX(UNSPSCDes,MATCH(INDIRECT(ADDRESS(ROW(),COLUMN()-1,4)),UNSPSCCode,0)),IF(INDIRECT(ADDRESS(ROW(),COLUMN()-1,4))="52141502","Hornos microondas para uso doméstico",""))</f>
        <v>Hornos microondas para uso doméstico</v>
      </c>
      <c r="C306" s="32" t="str">
        <f>IFERROR(VLOOKUP("UD",'[1]Informacion '!P:Q,2,FALSE),"")</f>
        <v>Unidad</v>
      </c>
      <c r="D306" s="30">
        <v>6</v>
      </c>
      <c r="E306" s="33">
        <v>13000</v>
      </c>
      <c r="F306" s="34">
        <f ca="1">INDIRECT(ADDRESS(ROW(),COLUMN()-2,4))*INDIRECT(ADDRESS(ROW(),COLUMN()-1,4))</f>
        <v>78000</v>
      </c>
      <c r="G306" s="21"/>
    </row>
    <row r="307" spans="1:7" ht="16.5" x14ac:dyDescent="0.25">
      <c r="A307" s="21"/>
      <c r="B307" s="21"/>
      <c r="C307" s="21"/>
      <c r="D307" s="21"/>
      <c r="E307" s="35" t="s">
        <v>48</v>
      </c>
      <c r="F307" s="36">
        <f ca="1">SUM(Table20[MONTO TOTAL ESTIMADO])</f>
        <v>155000</v>
      </c>
      <c r="G307" s="21"/>
    </row>
    <row r="308" spans="1:7" ht="17.25" thickBot="1" x14ac:dyDescent="0.3">
      <c r="A308" s="21"/>
      <c r="B308" s="21"/>
      <c r="C308" s="21"/>
      <c r="D308" s="21"/>
      <c r="E308" s="21"/>
      <c r="F308" s="21"/>
      <c r="G308" s="21"/>
    </row>
    <row r="309" spans="1:7" ht="23.25" thickBot="1" x14ac:dyDescent="0.3">
      <c r="A309" s="22" t="s">
        <v>19</v>
      </c>
      <c r="B309" s="22" t="s">
        <v>20</v>
      </c>
      <c r="C309" s="22" t="s">
        <v>21</v>
      </c>
      <c r="D309" s="22" t="s">
        <v>22</v>
      </c>
      <c r="E309" s="22" t="s">
        <v>23</v>
      </c>
      <c r="F309" s="22" t="s">
        <v>24</v>
      </c>
      <c r="G309" s="21"/>
    </row>
    <row r="310" spans="1:7" ht="17.25" thickBot="1" x14ac:dyDescent="0.3">
      <c r="A310" s="23" t="s">
        <v>159</v>
      </c>
      <c r="B310" s="23" t="s">
        <v>160</v>
      </c>
      <c r="C310" s="23" t="s">
        <v>54</v>
      </c>
      <c r="D310" s="23" t="s">
        <v>55</v>
      </c>
      <c r="E310" s="23" t="s">
        <v>56</v>
      </c>
      <c r="F310" s="23"/>
      <c r="G310" s="21"/>
    </row>
    <row r="311" spans="1:7" ht="17.25" thickBot="1" x14ac:dyDescent="0.3">
      <c r="A311" s="43" t="s">
        <v>30</v>
      </c>
      <c r="B311" s="24" t="s">
        <v>31</v>
      </c>
      <c r="C311" s="25">
        <v>44594</v>
      </c>
      <c r="D311" s="43" t="s">
        <v>32</v>
      </c>
      <c r="E311" s="26" t="s">
        <v>33</v>
      </c>
      <c r="F311" s="27" t="s">
        <v>34</v>
      </c>
      <c r="G311" s="21"/>
    </row>
    <row r="312" spans="1:7" ht="17.25" thickBot="1" x14ac:dyDescent="0.3">
      <c r="A312" s="44"/>
      <c r="B312" s="24" t="s">
        <v>35</v>
      </c>
      <c r="C312" s="28">
        <f>IF(C311="","",IF(AND(MONTH(C311)&gt;=1,MONTH(C311)&lt;=3),1,IF(AND(MONTH(C311)&gt;=4,MONTH(C311)&lt;=6),2,IF(AND(MONTH(C311)&gt;=7,MONTH(C311)&lt;=9),3,4))))</f>
        <v>1</v>
      </c>
      <c r="D312" s="44"/>
      <c r="E312" s="26" t="s">
        <v>36</v>
      </c>
      <c r="F312" s="27" t="s">
        <v>37</v>
      </c>
      <c r="G312" s="21"/>
    </row>
    <row r="313" spans="1:7" ht="17.25" thickBot="1" x14ac:dyDescent="0.3">
      <c r="A313" s="44"/>
      <c r="B313" s="24" t="s">
        <v>38</v>
      </c>
      <c r="C313" s="25">
        <v>44601</v>
      </c>
      <c r="D313" s="44"/>
      <c r="E313" s="26" t="s">
        <v>39</v>
      </c>
      <c r="F313" s="27"/>
      <c r="G313" s="21"/>
    </row>
    <row r="314" spans="1:7" ht="17.25" thickBot="1" x14ac:dyDescent="0.3">
      <c r="A314" s="44"/>
      <c r="B314" s="24" t="s">
        <v>35</v>
      </c>
      <c r="C314" s="28">
        <f>IF(C313="","",IF(AND(MONTH(C313)&gt;=1,MONTH(C313)&lt;=3),1,IF(AND(MONTH(C313)&gt;=4,MONTH(C313)&lt;=6),2,IF(AND(MONTH(C313)&gt;=7,MONTH(C313)&lt;=9),3,4))))</f>
        <v>1</v>
      </c>
      <c r="D314" s="44"/>
      <c r="E314" s="26" t="s">
        <v>40</v>
      </c>
      <c r="F314" s="27"/>
      <c r="G314" s="21"/>
    </row>
    <row r="315" spans="1:7" ht="17.25" thickBot="1" x14ac:dyDescent="0.3">
      <c r="A315" s="21"/>
      <c r="B315" s="21"/>
      <c r="C315" s="21"/>
      <c r="D315" s="21"/>
      <c r="E315" s="21"/>
      <c r="F315" s="21"/>
      <c r="G315" s="21"/>
    </row>
    <row r="316" spans="1:7" ht="17.25" thickBot="1" x14ac:dyDescent="0.3">
      <c r="A316" s="29" t="s">
        <v>41</v>
      </c>
      <c r="B316" s="29" t="s">
        <v>42</v>
      </c>
      <c r="C316" s="29" t="s">
        <v>43</v>
      </c>
      <c r="D316" s="29" t="s">
        <v>44</v>
      </c>
      <c r="E316" s="29" t="s">
        <v>45</v>
      </c>
      <c r="F316" s="29" t="s">
        <v>46</v>
      </c>
      <c r="G316" s="21"/>
    </row>
    <row r="317" spans="1:7" ht="16.5" x14ac:dyDescent="0.25">
      <c r="A317" s="30" t="s">
        <v>161</v>
      </c>
      <c r="B317" s="31" t="str">
        <f ca="1">IFERROR(INDEX(UNSPSCDes,MATCH(INDIRECT(ADDRESS(ROW(),COLUMN()-1,4)),UNSPSCCode,0)),IF(INDIRECT(ADDRESS(ROW(),COLUMN()-1,4))="53102710","Uniformes corporativos",""))</f>
        <v>Uniformes corporativos</v>
      </c>
      <c r="C317" s="32" t="str">
        <f>IFERROR(VLOOKUP("UD",'[1]Informacion '!P:Q,2,FALSE),"")</f>
        <v>Unidad</v>
      </c>
      <c r="D317" s="30">
        <v>4</v>
      </c>
      <c r="E317" s="33">
        <v>800</v>
      </c>
      <c r="F317" s="34">
        <f ca="1">INDIRECT(ADDRESS(ROW(),COLUMN()-2,4))*INDIRECT(ADDRESS(ROW(),COLUMN()-1,4))</f>
        <v>3200</v>
      </c>
      <c r="G317" s="21"/>
    </row>
    <row r="318" spans="1:7" ht="16.5" x14ac:dyDescent="0.25">
      <c r="A318" s="30" t="s">
        <v>161</v>
      </c>
      <c r="B318" s="31" t="str">
        <f ca="1">IFERROR(INDEX(UNSPSCDes,MATCH(INDIRECT(ADDRESS(ROW(),COLUMN()-1,4)),UNSPSCCode,0)),IF(INDIRECT(ADDRESS(ROW(),COLUMN()-1,4))="53102710","Uniformes corporativos",""))</f>
        <v>Uniformes corporativos</v>
      </c>
      <c r="C318" s="32" t="str">
        <f>IFERROR(VLOOKUP("UD",'[1]Informacion '!P:Q,2,FALSE),"")</f>
        <v>Unidad</v>
      </c>
      <c r="D318" s="30">
        <v>8</v>
      </c>
      <c r="E318" s="33">
        <v>800</v>
      </c>
      <c r="F318" s="34">
        <f ca="1">INDIRECT(ADDRESS(ROW(),COLUMN()-2,4))*INDIRECT(ADDRESS(ROW(),COLUMN()-1,4))</f>
        <v>6400</v>
      </c>
      <c r="G318" s="21"/>
    </row>
    <row r="319" spans="1:7" ht="16.5" x14ac:dyDescent="0.25">
      <c r="A319" s="21"/>
      <c r="B319" s="21"/>
      <c r="C319" s="21"/>
      <c r="D319" s="21"/>
      <c r="E319" s="35" t="s">
        <v>48</v>
      </c>
      <c r="F319" s="36">
        <f ca="1">SUM(Table21[MONTO TOTAL ESTIMADO])</f>
        <v>9600</v>
      </c>
      <c r="G319" s="21"/>
    </row>
    <row r="320" spans="1:7" ht="17.25" thickBot="1" x14ac:dyDescent="0.3">
      <c r="A320" s="21"/>
      <c r="B320" s="21"/>
      <c r="C320" s="21"/>
      <c r="D320" s="21"/>
      <c r="E320" s="21"/>
      <c r="F320" s="21"/>
      <c r="G320" s="21"/>
    </row>
    <row r="321" spans="1:7" ht="23.25" thickBot="1" x14ac:dyDescent="0.3">
      <c r="A321" s="22" t="s">
        <v>19</v>
      </c>
      <c r="B321" s="22" t="s">
        <v>20</v>
      </c>
      <c r="C321" s="22" t="s">
        <v>21</v>
      </c>
      <c r="D321" s="22" t="s">
        <v>22</v>
      </c>
      <c r="E321" s="22" t="s">
        <v>23</v>
      </c>
      <c r="F321" s="22" t="s">
        <v>24</v>
      </c>
      <c r="G321" s="21"/>
    </row>
    <row r="322" spans="1:7" ht="17.25" thickBot="1" x14ac:dyDescent="0.3">
      <c r="A322" s="23" t="s">
        <v>162</v>
      </c>
      <c r="B322" s="23" t="s">
        <v>163</v>
      </c>
      <c r="C322" s="23" t="s">
        <v>27</v>
      </c>
      <c r="D322" s="23" t="s">
        <v>28</v>
      </c>
      <c r="E322" s="23" t="s">
        <v>29</v>
      </c>
      <c r="F322" s="23"/>
      <c r="G322" s="21"/>
    </row>
    <row r="323" spans="1:7" ht="17.25" thickBot="1" x14ac:dyDescent="0.3">
      <c r="A323" s="43" t="s">
        <v>30</v>
      </c>
      <c r="B323" s="24" t="s">
        <v>31</v>
      </c>
      <c r="C323" s="25">
        <v>44621</v>
      </c>
      <c r="D323" s="43" t="s">
        <v>32</v>
      </c>
      <c r="E323" s="26" t="s">
        <v>33</v>
      </c>
      <c r="F323" s="27" t="s">
        <v>34</v>
      </c>
      <c r="G323" s="21"/>
    </row>
    <row r="324" spans="1:7" ht="17.25" thickBot="1" x14ac:dyDescent="0.3">
      <c r="A324" s="44"/>
      <c r="B324" s="24" t="s">
        <v>35</v>
      </c>
      <c r="C324" s="28">
        <f>IF(C323="","",IF(AND(MONTH(C323)&gt;=1,MONTH(C323)&lt;=3),1,IF(AND(MONTH(C323)&gt;=4,MONTH(C323)&lt;=6),2,IF(AND(MONTH(C323)&gt;=7,MONTH(C323)&lt;=9),3,4))))</f>
        <v>1</v>
      </c>
      <c r="D324" s="44"/>
      <c r="E324" s="26" t="s">
        <v>36</v>
      </c>
      <c r="F324" s="27" t="s">
        <v>37</v>
      </c>
      <c r="G324" s="21"/>
    </row>
    <row r="325" spans="1:7" ht="17.25" thickBot="1" x14ac:dyDescent="0.3">
      <c r="A325" s="44"/>
      <c r="B325" s="24" t="s">
        <v>38</v>
      </c>
      <c r="C325" s="25">
        <v>44628</v>
      </c>
      <c r="D325" s="44"/>
      <c r="E325" s="26" t="s">
        <v>39</v>
      </c>
      <c r="F325" s="27"/>
      <c r="G325" s="21"/>
    </row>
    <row r="326" spans="1:7" ht="17.25" thickBot="1" x14ac:dyDescent="0.3">
      <c r="A326" s="44"/>
      <c r="B326" s="24" t="s">
        <v>35</v>
      </c>
      <c r="C326" s="28">
        <f>IF(C325="","",IF(AND(MONTH(C325)&gt;=1,MONTH(C325)&lt;=3),1,IF(AND(MONTH(C325)&gt;=4,MONTH(C325)&lt;=6),2,IF(AND(MONTH(C325)&gt;=7,MONTH(C325)&lt;=9),3,4))))</f>
        <v>1</v>
      </c>
      <c r="D326" s="44"/>
      <c r="E326" s="26" t="s">
        <v>40</v>
      </c>
      <c r="F326" s="27"/>
      <c r="G326" s="21"/>
    </row>
    <row r="327" spans="1:7" ht="17.25" thickBot="1" x14ac:dyDescent="0.3">
      <c r="A327" s="21"/>
      <c r="B327" s="21"/>
      <c r="C327" s="21"/>
      <c r="D327" s="21"/>
      <c r="E327" s="21"/>
      <c r="F327" s="21"/>
      <c r="G327" s="21"/>
    </row>
    <row r="328" spans="1:7" ht="17.25" thickBot="1" x14ac:dyDescent="0.3">
      <c r="A328" s="29" t="s">
        <v>41</v>
      </c>
      <c r="B328" s="29" t="s">
        <v>42</v>
      </c>
      <c r="C328" s="29" t="s">
        <v>43</v>
      </c>
      <c r="D328" s="29" t="s">
        <v>44</v>
      </c>
      <c r="E328" s="29" t="s">
        <v>45</v>
      </c>
      <c r="F328" s="29" t="s">
        <v>46</v>
      </c>
      <c r="G328" s="21"/>
    </row>
    <row r="329" spans="1:7" ht="16.5" x14ac:dyDescent="0.25">
      <c r="A329" s="30" t="s">
        <v>164</v>
      </c>
      <c r="B329" s="31" t="str">
        <f ca="1">IFERROR(INDEX(UNSPSCDes,MATCH(INDIRECT(ADDRESS(ROW(),COLUMN()-1,4)),UNSPSCCode,0)),IF(INDIRECT(ADDRESS(ROW(),COLUMN()-1,4))="90101601","Instalaciones para banquetes",""))</f>
        <v>Instalaciones para banquetes</v>
      </c>
      <c r="C329" s="32" t="str">
        <f>IFERROR(VLOOKUP("UD",'[1]Informacion '!P:Q,2,FALSE),"")</f>
        <v>Unidad</v>
      </c>
      <c r="D329" s="30">
        <v>1</v>
      </c>
      <c r="E329" s="33">
        <v>100000</v>
      </c>
      <c r="F329" s="34">
        <f ca="1">INDIRECT(ADDRESS(ROW(),COLUMN()-2,4))*INDIRECT(ADDRESS(ROW(),COLUMN()-1,4))</f>
        <v>100000</v>
      </c>
      <c r="G329" s="21"/>
    </row>
    <row r="330" spans="1:7" ht="16.5" x14ac:dyDescent="0.25">
      <c r="A330" s="30" t="s">
        <v>164</v>
      </c>
      <c r="B330" s="31" t="str">
        <f ca="1">IFERROR(INDEX(UNSPSCDes,MATCH(INDIRECT(ADDRESS(ROW(),COLUMN()-1,4)),UNSPSCCode,0)),IF(INDIRECT(ADDRESS(ROW(),COLUMN()-1,4))="90101601","Instalaciones para banquetes",""))</f>
        <v>Instalaciones para banquetes</v>
      </c>
      <c r="C330" s="32" t="str">
        <f>IFERROR(VLOOKUP("UD",'[1]Informacion '!P:Q,2,FALSE),"")</f>
        <v>Unidad</v>
      </c>
      <c r="D330" s="30">
        <v>1</v>
      </c>
      <c r="E330" s="33">
        <v>100000</v>
      </c>
      <c r="F330" s="34">
        <f ca="1">INDIRECT(ADDRESS(ROW(),COLUMN()-2,4))*INDIRECT(ADDRESS(ROW(),COLUMN()-1,4))</f>
        <v>100000</v>
      </c>
      <c r="G330" s="21"/>
    </row>
    <row r="331" spans="1:7" ht="16.5" x14ac:dyDescent="0.25">
      <c r="A331" s="21"/>
      <c r="B331" s="21"/>
      <c r="C331" s="21"/>
      <c r="D331" s="21"/>
      <c r="E331" s="35" t="s">
        <v>48</v>
      </c>
      <c r="F331" s="36">
        <f ca="1">SUM(Table22[MONTO TOTAL ESTIMADO])</f>
        <v>200000</v>
      </c>
      <c r="G331" s="21"/>
    </row>
    <row r="332" spans="1:7" ht="17.25" thickBot="1" x14ac:dyDescent="0.3">
      <c r="A332" s="21"/>
      <c r="B332" s="21"/>
      <c r="C332" s="21"/>
      <c r="D332" s="21"/>
      <c r="E332" s="21"/>
      <c r="F332" s="21"/>
      <c r="G332" s="21"/>
    </row>
    <row r="333" spans="1:7" ht="23.25" thickBot="1" x14ac:dyDescent="0.3">
      <c r="A333" s="22" t="s">
        <v>19</v>
      </c>
      <c r="B333" s="22" t="s">
        <v>20</v>
      </c>
      <c r="C333" s="22" t="s">
        <v>21</v>
      </c>
      <c r="D333" s="22" t="s">
        <v>22</v>
      </c>
      <c r="E333" s="22" t="s">
        <v>23</v>
      </c>
      <c r="F333" s="22" t="s">
        <v>24</v>
      </c>
      <c r="G333" s="21"/>
    </row>
    <row r="334" spans="1:7" ht="17.25" thickBot="1" x14ac:dyDescent="0.3">
      <c r="A334" s="23" t="s">
        <v>162</v>
      </c>
      <c r="B334" s="23" t="s">
        <v>165</v>
      </c>
      <c r="C334" s="23" t="s">
        <v>27</v>
      </c>
      <c r="D334" s="23" t="s">
        <v>28</v>
      </c>
      <c r="E334" s="23" t="s">
        <v>29</v>
      </c>
      <c r="F334" s="23"/>
      <c r="G334" s="21"/>
    </row>
    <row r="335" spans="1:7" ht="17.25" thickBot="1" x14ac:dyDescent="0.3">
      <c r="A335" s="43" t="s">
        <v>30</v>
      </c>
      <c r="B335" s="24" t="s">
        <v>31</v>
      </c>
      <c r="C335" s="25">
        <v>44652</v>
      </c>
      <c r="D335" s="43" t="s">
        <v>32</v>
      </c>
      <c r="E335" s="26" t="s">
        <v>33</v>
      </c>
      <c r="F335" s="27" t="s">
        <v>34</v>
      </c>
      <c r="G335" s="21"/>
    </row>
    <row r="336" spans="1:7" ht="17.25" thickBot="1" x14ac:dyDescent="0.3">
      <c r="A336" s="44"/>
      <c r="B336" s="24" t="s">
        <v>35</v>
      </c>
      <c r="C336" s="28">
        <f>IF(C335="","",IF(AND(MONTH(C335)&gt;=1,MONTH(C335)&lt;=3),1,IF(AND(MONTH(C335)&gt;=4,MONTH(C335)&lt;=6),2,IF(AND(MONTH(C335)&gt;=7,MONTH(C335)&lt;=9),3,4))))</f>
        <v>2</v>
      </c>
      <c r="D336" s="44"/>
      <c r="E336" s="26" t="s">
        <v>36</v>
      </c>
      <c r="F336" s="27" t="s">
        <v>37</v>
      </c>
      <c r="G336" s="21"/>
    </row>
    <row r="337" spans="1:7" ht="17.25" thickBot="1" x14ac:dyDescent="0.3">
      <c r="A337" s="44"/>
      <c r="B337" s="24" t="s">
        <v>38</v>
      </c>
      <c r="C337" s="25">
        <v>44658</v>
      </c>
      <c r="D337" s="44"/>
      <c r="E337" s="26" t="s">
        <v>39</v>
      </c>
      <c r="F337" s="27"/>
      <c r="G337" s="21"/>
    </row>
    <row r="338" spans="1:7" ht="17.25" thickBot="1" x14ac:dyDescent="0.3">
      <c r="A338" s="44"/>
      <c r="B338" s="24" t="s">
        <v>35</v>
      </c>
      <c r="C338" s="28">
        <f>IF(C337="","",IF(AND(MONTH(C337)&gt;=1,MONTH(C337)&lt;=3),1,IF(AND(MONTH(C337)&gt;=4,MONTH(C337)&lt;=6),2,IF(AND(MONTH(C337)&gt;=7,MONTH(C337)&lt;=9),3,4))))</f>
        <v>2</v>
      </c>
      <c r="D338" s="44"/>
      <c r="E338" s="26" t="s">
        <v>40</v>
      </c>
      <c r="F338" s="27"/>
      <c r="G338" s="21"/>
    </row>
    <row r="339" spans="1:7" ht="17.25" thickBot="1" x14ac:dyDescent="0.3">
      <c r="A339" s="21"/>
      <c r="B339" s="21"/>
      <c r="C339" s="21"/>
      <c r="D339" s="21"/>
      <c r="E339" s="21"/>
      <c r="F339" s="21"/>
      <c r="G339" s="21"/>
    </row>
    <row r="340" spans="1:7" ht="17.25" thickBot="1" x14ac:dyDescent="0.3">
      <c r="A340" s="29" t="s">
        <v>41</v>
      </c>
      <c r="B340" s="29" t="s">
        <v>42</v>
      </c>
      <c r="C340" s="29" t="s">
        <v>43</v>
      </c>
      <c r="D340" s="29" t="s">
        <v>44</v>
      </c>
      <c r="E340" s="29" t="s">
        <v>45</v>
      </c>
      <c r="F340" s="29" t="s">
        <v>46</v>
      </c>
      <c r="G340" s="21"/>
    </row>
    <row r="341" spans="1:7" ht="16.5" x14ac:dyDescent="0.25">
      <c r="A341" s="30" t="s">
        <v>164</v>
      </c>
      <c r="B341" s="31" t="str">
        <f ca="1">IFERROR(INDEX(UNSPSCDes,MATCH(INDIRECT(ADDRESS(ROW(),COLUMN()-1,4)),UNSPSCCode,0)),IF(INDIRECT(ADDRESS(ROW(),COLUMN()-1,4))="90101601","Instalaciones para banquetes",""))</f>
        <v>Instalaciones para banquetes</v>
      </c>
      <c r="C341" s="32" t="str">
        <f>IFERROR(VLOOKUP("UD",'[1]Informacion '!P:Q,2,FALSE),"")</f>
        <v>Unidad</v>
      </c>
      <c r="D341" s="30">
        <v>1</v>
      </c>
      <c r="E341" s="33">
        <v>100000</v>
      </c>
      <c r="F341" s="34">
        <f ca="1">INDIRECT(ADDRESS(ROW(),COLUMN()-2,4))*INDIRECT(ADDRESS(ROW(),COLUMN()-1,4))</f>
        <v>100000</v>
      </c>
      <c r="G341" s="21"/>
    </row>
    <row r="342" spans="1:7" ht="16.5" x14ac:dyDescent="0.25">
      <c r="A342" s="30" t="s">
        <v>164</v>
      </c>
      <c r="B342" s="31" t="str">
        <f ca="1">IFERROR(INDEX(UNSPSCDes,MATCH(INDIRECT(ADDRESS(ROW(),COLUMN()-1,4)),UNSPSCCode,0)),IF(INDIRECT(ADDRESS(ROW(),COLUMN()-1,4))="90101601","Instalaciones para banquetes",""))</f>
        <v>Instalaciones para banquetes</v>
      </c>
      <c r="C342" s="32" t="str">
        <f>IFERROR(VLOOKUP("UD",'[1]Informacion '!P:Q,2,FALSE),"")</f>
        <v>Unidad</v>
      </c>
      <c r="D342" s="30">
        <v>1</v>
      </c>
      <c r="E342" s="33">
        <v>50000</v>
      </c>
      <c r="F342" s="34">
        <f ca="1">INDIRECT(ADDRESS(ROW(),COLUMN()-2,4))*INDIRECT(ADDRESS(ROW(),COLUMN()-1,4))</f>
        <v>50000</v>
      </c>
      <c r="G342" s="21"/>
    </row>
    <row r="343" spans="1:7" ht="16.5" x14ac:dyDescent="0.25">
      <c r="A343" s="30" t="s">
        <v>164</v>
      </c>
      <c r="B343" s="31" t="str">
        <f ca="1">IFERROR(INDEX(UNSPSCDes,MATCH(INDIRECT(ADDRESS(ROW(),COLUMN()-1,4)),UNSPSCCode,0)),IF(INDIRECT(ADDRESS(ROW(),COLUMN()-1,4))="90101601","Instalaciones para banquetes",""))</f>
        <v>Instalaciones para banquetes</v>
      </c>
      <c r="C343" s="32" t="str">
        <f>IFERROR(VLOOKUP("UD",'[1]Informacion '!P:Q,2,FALSE),"")</f>
        <v>Unidad</v>
      </c>
      <c r="D343" s="30">
        <v>1</v>
      </c>
      <c r="E343" s="33">
        <v>50000</v>
      </c>
      <c r="F343" s="34">
        <f ca="1">INDIRECT(ADDRESS(ROW(),COLUMN()-2,4))*INDIRECT(ADDRESS(ROW(),COLUMN()-1,4))</f>
        <v>50000</v>
      </c>
      <c r="G343" s="21"/>
    </row>
    <row r="344" spans="1:7" ht="16.5" x14ac:dyDescent="0.25">
      <c r="A344" s="21"/>
      <c r="B344" s="21"/>
      <c r="C344" s="21"/>
      <c r="D344" s="21"/>
      <c r="E344" s="35" t="s">
        <v>48</v>
      </c>
      <c r="F344" s="36">
        <f ca="1">SUM(Table23[MONTO TOTAL ESTIMADO])</f>
        <v>200000</v>
      </c>
      <c r="G344" s="21"/>
    </row>
    <row r="345" spans="1:7" ht="17.25" thickBot="1" x14ac:dyDescent="0.3">
      <c r="A345" s="21"/>
      <c r="B345" s="21"/>
      <c r="C345" s="21"/>
      <c r="D345" s="21"/>
      <c r="E345" s="21"/>
      <c r="F345" s="21"/>
      <c r="G345" s="21"/>
    </row>
    <row r="346" spans="1:7" ht="23.25" thickBot="1" x14ac:dyDescent="0.3">
      <c r="A346" s="22" t="s">
        <v>19</v>
      </c>
      <c r="B346" s="22" t="s">
        <v>20</v>
      </c>
      <c r="C346" s="22" t="s">
        <v>21</v>
      </c>
      <c r="D346" s="22" t="s">
        <v>22</v>
      </c>
      <c r="E346" s="22" t="s">
        <v>23</v>
      </c>
      <c r="F346" s="22" t="s">
        <v>24</v>
      </c>
      <c r="G346" s="21"/>
    </row>
    <row r="347" spans="1:7" ht="17.25" thickBot="1" x14ac:dyDescent="0.3">
      <c r="A347" s="23" t="s">
        <v>162</v>
      </c>
      <c r="B347" s="23" t="s">
        <v>166</v>
      </c>
      <c r="C347" s="23" t="s">
        <v>27</v>
      </c>
      <c r="D347" s="23" t="s">
        <v>28</v>
      </c>
      <c r="E347" s="23" t="s">
        <v>29</v>
      </c>
      <c r="F347" s="23"/>
      <c r="G347" s="21"/>
    </row>
    <row r="348" spans="1:7" ht="17.25" thickBot="1" x14ac:dyDescent="0.3">
      <c r="A348" s="43" t="s">
        <v>30</v>
      </c>
      <c r="B348" s="24" t="s">
        <v>31</v>
      </c>
      <c r="C348" s="25">
        <v>44774</v>
      </c>
      <c r="D348" s="43" t="s">
        <v>32</v>
      </c>
      <c r="E348" s="26" t="s">
        <v>33</v>
      </c>
      <c r="F348" s="27" t="s">
        <v>34</v>
      </c>
      <c r="G348" s="21"/>
    </row>
    <row r="349" spans="1:7" ht="17.25" thickBot="1" x14ac:dyDescent="0.3">
      <c r="A349" s="44"/>
      <c r="B349" s="24" t="s">
        <v>35</v>
      </c>
      <c r="C349" s="28">
        <f>IF(C348="","",IF(AND(MONTH(C348)&gt;=1,MONTH(C348)&lt;=3),1,IF(AND(MONTH(C348)&gt;=4,MONTH(C348)&lt;=6),2,IF(AND(MONTH(C348)&gt;=7,MONTH(C348)&lt;=9),3,4))))</f>
        <v>3</v>
      </c>
      <c r="D349" s="44"/>
      <c r="E349" s="26" t="s">
        <v>36</v>
      </c>
      <c r="F349" s="27" t="s">
        <v>37</v>
      </c>
      <c r="G349" s="21"/>
    </row>
    <row r="350" spans="1:7" ht="17.25" thickBot="1" x14ac:dyDescent="0.3">
      <c r="A350" s="44"/>
      <c r="B350" s="24" t="s">
        <v>38</v>
      </c>
      <c r="C350" s="25">
        <v>44781</v>
      </c>
      <c r="D350" s="44"/>
      <c r="E350" s="26" t="s">
        <v>39</v>
      </c>
      <c r="F350" s="27"/>
      <c r="G350" s="21"/>
    </row>
    <row r="351" spans="1:7" ht="17.25" thickBot="1" x14ac:dyDescent="0.3">
      <c r="A351" s="44"/>
      <c r="B351" s="24" t="s">
        <v>35</v>
      </c>
      <c r="C351" s="28">
        <f>IF(C350="","",IF(AND(MONTH(C350)&gt;=1,MONTH(C350)&lt;=3),1,IF(AND(MONTH(C350)&gt;=4,MONTH(C350)&lt;=6),2,IF(AND(MONTH(C350)&gt;=7,MONTH(C350)&lt;=9),3,4))))</f>
        <v>3</v>
      </c>
      <c r="D351" s="44"/>
      <c r="E351" s="26" t="s">
        <v>40</v>
      </c>
      <c r="F351" s="27"/>
      <c r="G351" s="21"/>
    </row>
    <row r="352" spans="1:7" ht="17.25" thickBot="1" x14ac:dyDescent="0.3">
      <c r="A352" s="21"/>
      <c r="B352" s="21"/>
      <c r="C352" s="21"/>
      <c r="D352" s="21"/>
      <c r="E352" s="21"/>
      <c r="F352" s="21"/>
      <c r="G352" s="21"/>
    </row>
    <row r="353" spans="1:7" ht="17.25" thickBot="1" x14ac:dyDescent="0.3">
      <c r="A353" s="29" t="s">
        <v>41</v>
      </c>
      <c r="B353" s="29" t="s">
        <v>42</v>
      </c>
      <c r="C353" s="29" t="s">
        <v>43</v>
      </c>
      <c r="D353" s="29" t="s">
        <v>44</v>
      </c>
      <c r="E353" s="29" t="s">
        <v>45</v>
      </c>
      <c r="F353" s="29" t="s">
        <v>46</v>
      </c>
      <c r="G353" s="21"/>
    </row>
    <row r="354" spans="1:7" ht="16.5" x14ac:dyDescent="0.25">
      <c r="A354" s="30" t="s">
        <v>164</v>
      </c>
      <c r="B354" s="31" t="str">
        <f ca="1">IFERROR(INDEX(UNSPSCDes,MATCH(INDIRECT(ADDRESS(ROW(),COLUMN()-1,4)),UNSPSCCode,0)),IF(INDIRECT(ADDRESS(ROW(),COLUMN()-1,4))="90101601","Instalaciones para banquetes",""))</f>
        <v>Instalaciones para banquetes</v>
      </c>
      <c r="C354" s="32" t="str">
        <f>IFERROR(VLOOKUP("UD",'[1]Informacion '!P:Q,2,FALSE),"")</f>
        <v>Unidad</v>
      </c>
      <c r="D354" s="30">
        <v>1</v>
      </c>
      <c r="E354" s="33">
        <v>700000</v>
      </c>
      <c r="F354" s="34">
        <f ca="1">INDIRECT(ADDRESS(ROW(),COLUMN()-2,4))*INDIRECT(ADDRESS(ROW(),COLUMN()-1,4))</f>
        <v>700000</v>
      </c>
      <c r="G354" s="21"/>
    </row>
    <row r="355" spans="1:7" ht="16.5" x14ac:dyDescent="0.25">
      <c r="A355" s="21"/>
      <c r="B355" s="21"/>
      <c r="C355" s="21"/>
      <c r="D355" s="21"/>
      <c r="E355" s="35" t="s">
        <v>48</v>
      </c>
      <c r="F355" s="36">
        <f ca="1">SUM(Table24[MONTO TOTAL ESTIMADO])</f>
        <v>700000</v>
      </c>
      <c r="G355" s="21"/>
    </row>
    <row r="356" spans="1:7" ht="17.25" thickBot="1" x14ac:dyDescent="0.3">
      <c r="A356" s="21"/>
      <c r="B356" s="21"/>
      <c r="C356" s="21"/>
      <c r="D356" s="21"/>
      <c r="E356" s="21"/>
      <c r="F356" s="21"/>
      <c r="G356" s="21"/>
    </row>
    <row r="357" spans="1:7" ht="23.25" thickBot="1" x14ac:dyDescent="0.3">
      <c r="A357" s="22" t="s">
        <v>19</v>
      </c>
      <c r="B357" s="22" t="s">
        <v>20</v>
      </c>
      <c r="C357" s="22" t="s">
        <v>21</v>
      </c>
      <c r="D357" s="22" t="s">
        <v>22</v>
      </c>
      <c r="E357" s="22" t="s">
        <v>23</v>
      </c>
      <c r="F357" s="22" t="s">
        <v>24</v>
      </c>
      <c r="G357" s="21"/>
    </row>
    <row r="358" spans="1:7" ht="17.25" thickBot="1" x14ac:dyDescent="0.3">
      <c r="A358" s="23" t="s">
        <v>162</v>
      </c>
      <c r="B358" s="23" t="s">
        <v>167</v>
      </c>
      <c r="C358" s="23" t="s">
        <v>27</v>
      </c>
      <c r="D358" s="23" t="s">
        <v>28</v>
      </c>
      <c r="E358" s="23" t="s">
        <v>56</v>
      </c>
      <c r="F358" s="23"/>
      <c r="G358" s="21"/>
    </row>
    <row r="359" spans="1:7" ht="17.25" thickBot="1" x14ac:dyDescent="0.3">
      <c r="A359" s="43" t="s">
        <v>30</v>
      </c>
      <c r="B359" s="24" t="s">
        <v>31</v>
      </c>
      <c r="C359" s="25">
        <v>44866</v>
      </c>
      <c r="D359" s="43" t="s">
        <v>32</v>
      </c>
      <c r="E359" s="26" t="s">
        <v>33</v>
      </c>
      <c r="F359" s="27" t="s">
        <v>34</v>
      </c>
      <c r="G359" s="21"/>
    </row>
    <row r="360" spans="1:7" ht="17.25" thickBot="1" x14ac:dyDescent="0.3">
      <c r="A360" s="44"/>
      <c r="B360" s="24" t="s">
        <v>35</v>
      </c>
      <c r="C360" s="28">
        <f>IF(C359="","",IF(AND(MONTH(C359)&gt;=1,MONTH(C359)&lt;=3),1,IF(AND(MONTH(C359)&gt;=4,MONTH(C359)&lt;=6),2,IF(AND(MONTH(C359)&gt;=7,MONTH(C359)&lt;=9),3,4))))</f>
        <v>4</v>
      </c>
      <c r="D360" s="44"/>
      <c r="E360" s="26" t="s">
        <v>36</v>
      </c>
      <c r="F360" s="27" t="s">
        <v>37</v>
      </c>
      <c r="G360" s="21"/>
    </row>
    <row r="361" spans="1:7" ht="17.25" thickBot="1" x14ac:dyDescent="0.3">
      <c r="A361" s="44"/>
      <c r="B361" s="24" t="s">
        <v>38</v>
      </c>
      <c r="C361" s="25">
        <v>44873</v>
      </c>
      <c r="D361" s="44"/>
      <c r="E361" s="26" t="s">
        <v>39</v>
      </c>
      <c r="F361" s="27"/>
      <c r="G361" s="21"/>
    </row>
    <row r="362" spans="1:7" ht="17.25" thickBot="1" x14ac:dyDescent="0.3">
      <c r="A362" s="44"/>
      <c r="B362" s="24" t="s">
        <v>35</v>
      </c>
      <c r="C362" s="28">
        <f>IF(C361="","",IF(AND(MONTH(C361)&gt;=1,MONTH(C361)&lt;=3),1,IF(AND(MONTH(C361)&gt;=4,MONTH(C361)&lt;=6),2,IF(AND(MONTH(C361)&gt;=7,MONTH(C361)&lt;=9),3,4))))</f>
        <v>4</v>
      </c>
      <c r="D362" s="44"/>
      <c r="E362" s="26" t="s">
        <v>40</v>
      </c>
      <c r="F362" s="27"/>
      <c r="G362" s="21"/>
    </row>
    <row r="363" spans="1:7" ht="17.25" thickBot="1" x14ac:dyDescent="0.3">
      <c r="A363" s="21"/>
      <c r="B363" s="21"/>
      <c r="C363" s="21"/>
      <c r="D363" s="21"/>
      <c r="E363" s="21"/>
      <c r="F363" s="21"/>
      <c r="G363" s="21"/>
    </row>
    <row r="364" spans="1:7" ht="17.25" thickBot="1" x14ac:dyDescent="0.3">
      <c r="A364" s="29" t="s">
        <v>41</v>
      </c>
      <c r="B364" s="29" t="s">
        <v>42</v>
      </c>
      <c r="C364" s="29" t="s">
        <v>43</v>
      </c>
      <c r="D364" s="29" t="s">
        <v>44</v>
      </c>
      <c r="E364" s="29" t="s">
        <v>45</v>
      </c>
      <c r="F364" s="29" t="s">
        <v>46</v>
      </c>
      <c r="G364" s="21"/>
    </row>
    <row r="365" spans="1:7" ht="16.5" x14ac:dyDescent="0.25">
      <c r="A365" s="30" t="s">
        <v>164</v>
      </c>
      <c r="B365" s="31" t="str">
        <f ca="1">IFERROR(INDEX(UNSPSCDes,MATCH(INDIRECT(ADDRESS(ROW(),COLUMN()-1,4)),UNSPSCCode,0)),IF(INDIRECT(ADDRESS(ROW(),COLUMN()-1,4))="90101601","Instalaciones para banquetes",""))</f>
        <v>Instalaciones para banquetes</v>
      </c>
      <c r="C365" s="32" t="str">
        <f>IFERROR(VLOOKUP("UD",'[1]Informacion '!P:Q,2,FALSE),"")</f>
        <v>Unidad</v>
      </c>
      <c r="D365" s="30">
        <v>1</v>
      </c>
      <c r="E365" s="33">
        <v>450000</v>
      </c>
      <c r="F365" s="34">
        <f ca="1">INDIRECT(ADDRESS(ROW(),COLUMN()-2,4))*INDIRECT(ADDRESS(ROW(),COLUMN()-1,4))</f>
        <v>450000</v>
      </c>
      <c r="G365" s="21"/>
    </row>
    <row r="366" spans="1:7" ht="16.5" x14ac:dyDescent="0.25">
      <c r="A366" s="21"/>
      <c r="B366" s="21"/>
      <c r="C366" s="21"/>
      <c r="D366" s="21"/>
      <c r="E366" s="35" t="s">
        <v>48</v>
      </c>
      <c r="F366" s="36">
        <f ca="1">SUM(Table25[MONTO TOTAL ESTIMADO])</f>
        <v>450000</v>
      </c>
      <c r="G366" s="21"/>
    </row>
    <row r="367" spans="1:7" ht="17.25" thickBot="1" x14ac:dyDescent="0.3">
      <c r="A367" s="21"/>
      <c r="B367" s="21"/>
      <c r="C367" s="21"/>
      <c r="D367" s="21"/>
      <c r="E367" s="21"/>
      <c r="F367" s="21"/>
      <c r="G367" s="21"/>
    </row>
    <row r="368" spans="1:7" ht="23.25" thickBot="1" x14ac:dyDescent="0.3">
      <c r="A368" s="22" t="s">
        <v>19</v>
      </c>
      <c r="B368" s="22" t="s">
        <v>20</v>
      </c>
      <c r="C368" s="22" t="s">
        <v>21</v>
      </c>
      <c r="D368" s="22" t="s">
        <v>22</v>
      </c>
      <c r="E368" s="22" t="s">
        <v>23</v>
      </c>
      <c r="F368" s="22" t="s">
        <v>24</v>
      </c>
      <c r="G368" s="21"/>
    </row>
    <row r="369" spans="1:7" ht="17.25" thickBot="1" x14ac:dyDescent="0.3">
      <c r="A369" s="23" t="s">
        <v>168</v>
      </c>
      <c r="B369" s="23" t="s">
        <v>169</v>
      </c>
      <c r="C369" s="23" t="s">
        <v>27</v>
      </c>
      <c r="D369" s="23" t="s">
        <v>60</v>
      </c>
      <c r="E369" s="23" t="s">
        <v>56</v>
      </c>
      <c r="F369" s="23"/>
      <c r="G369" s="21"/>
    </row>
    <row r="370" spans="1:7" ht="17.25" thickBot="1" x14ac:dyDescent="0.3">
      <c r="A370" s="43" t="s">
        <v>30</v>
      </c>
      <c r="B370" s="24" t="s">
        <v>31</v>
      </c>
      <c r="C370" s="25">
        <v>44593</v>
      </c>
      <c r="D370" s="43" t="s">
        <v>32</v>
      </c>
      <c r="E370" s="26" t="s">
        <v>33</v>
      </c>
      <c r="F370" s="27" t="s">
        <v>34</v>
      </c>
      <c r="G370" s="21"/>
    </row>
    <row r="371" spans="1:7" ht="17.25" thickBot="1" x14ac:dyDescent="0.3">
      <c r="A371" s="44"/>
      <c r="B371" s="24" t="s">
        <v>35</v>
      </c>
      <c r="C371" s="28">
        <f>IF(C370="","",IF(AND(MONTH(C370)&gt;=1,MONTH(C370)&lt;=3),1,IF(AND(MONTH(C370)&gt;=4,MONTH(C370)&lt;=6),2,IF(AND(MONTH(C370)&gt;=7,MONTH(C370)&lt;=9),3,4))))</f>
        <v>1</v>
      </c>
      <c r="D371" s="44"/>
      <c r="E371" s="26" t="s">
        <v>36</v>
      </c>
      <c r="F371" s="27" t="s">
        <v>37</v>
      </c>
      <c r="G371" s="21"/>
    </row>
    <row r="372" spans="1:7" ht="17.25" thickBot="1" x14ac:dyDescent="0.3">
      <c r="A372" s="44"/>
      <c r="B372" s="24" t="s">
        <v>38</v>
      </c>
      <c r="C372" s="25">
        <v>44600</v>
      </c>
      <c r="D372" s="44"/>
      <c r="E372" s="26" t="s">
        <v>39</v>
      </c>
      <c r="F372" s="27"/>
      <c r="G372" s="21"/>
    </row>
    <row r="373" spans="1:7" ht="17.25" thickBot="1" x14ac:dyDescent="0.3">
      <c r="A373" s="44"/>
      <c r="B373" s="24" t="s">
        <v>35</v>
      </c>
      <c r="C373" s="28">
        <f>IF(C372="","",IF(AND(MONTH(C372)&gt;=1,MONTH(C372)&lt;=3),1,IF(AND(MONTH(C372)&gt;=4,MONTH(C372)&lt;=6),2,IF(AND(MONTH(C372)&gt;=7,MONTH(C372)&lt;=9),3,4))))</f>
        <v>1</v>
      </c>
      <c r="D373" s="44"/>
      <c r="E373" s="26" t="s">
        <v>40</v>
      </c>
      <c r="F373" s="27"/>
      <c r="G373" s="21"/>
    </row>
    <row r="374" spans="1:7" ht="17.25" thickBot="1" x14ac:dyDescent="0.3">
      <c r="A374" s="21"/>
      <c r="B374" s="21"/>
      <c r="C374" s="21"/>
      <c r="D374" s="21"/>
      <c r="E374" s="21"/>
      <c r="F374" s="21"/>
      <c r="G374" s="21"/>
    </row>
    <row r="375" spans="1:7" ht="17.25" thickBot="1" x14ac:dyDescent="0.3">
      <c r="A375" s="29" t="s">
        <v>41</v>
      </c>
      <c r="B375" s="29" t="s">
        <v>42</v>
      </c>
      <c r="C375" s="29" t="s">
        <v>43</v>
      </c>
      <c r="D375" s="29" t="s">
        <v>44</v>
      </c>
      <c r="E375" s="29" t="s">
        <v>45</v>
      </c>
      <c r="F375" s="29" t="s">
        <v>46</v>
      </c>
      <c r="G375" s="21"/>
    </row>
    <row r="376" spans="1:7" ht="16.5" x14ac:dyDescent="0.25">
      <c r="A376" s="30" t="s">
        <v>170</v>
      </c>
      <c r="B376" s="31" t="str">
        <f ca="1">IFERROR(INDEX(UNSPSCDes,MATCH(INDIRECT(ADDRESS(ROW(),COLUMN()-1,4)),UNSPSCCode,0)),IF(INDIRECT(ADDRESS(ROW(),COLUMN()-1,4))="82101504","Publicidad en periódicos",""))</f>
        <v>Publicidad en periódicos</v>
      </c>
      <c r="C376" s="32" t="str">
        <f>IFERROR(VLOOKUP("UD",'[1]Informacion '!P:Q,2,FALSE),"")</f>
        <v>Unidad</v>
      </c>
      <c r="D376" s="30">
        <v>1</v>
      </c>
      <c r="E376" s="33">
        <v>1900000</v>
      </c>
      <c r="F376" s="34">
        <f ca="1">INDIRECT(ADDRESS(ROW(),COLUMN()-2,4))*INDIRECT(ADDRESS(ROW(),COLUMN()-1,4))</f>
        <v>1900000</v>
      </c>
      <c r="G376" s="21"/>
    </row>
    <row r="377" spans="1:7" ht="16.5" x14ac:dyDescent="0.25">
      <c r="A377" s="21"/>
      <c r="B377" s="21"/>
      <c r="C377" s="21"/>
      <c r="D377" s="21"/>
      <c r="E377" s="35" t="s">
        <v>48</v>
      </c>
      <c r="F377" s="36">
        <f ca="1">SUM(Table26[MONTO TOTAL ESTIMADO])</f>
        <v>1900000</v>
      </c>
      <c r="G377" s="21"/>
    </row>
    <row r="378" spans="1:7" ht="17.25" thickBot="1" x14ac:dyDescent="0.3">
      <c r="A378" s="21"/>
      <c r="B378" s="21"/>
      <c r="C378" s="21"/>
      <c r="D378" s="21"/>
      <c r="E378" s="21"/>
      <c r="F378" s="21"/>
      <c r="G378" s="21"/>
    </row>
    <row r="379" spans="1:7" ht="23.25" thickBot="1" x14ac:dyDescent="0.3">
      <c r="A379" s="22" t="s">
        <v>19</v>
      </c>
      <c r="B379" s="22" t="s">
        <v>20</v>
      </c>
      <c r="C379" s="22" t="s">
        <v>21</v>
      </c>
      <c r="D379" s="22" t="s">
        <v>22</v>
      </c>
      <c r="E379" s="22" t="s">
        <v>23</v>
      </c>
      <c r="F379" s="22" t="s">
        <v>24</v>
      </c>
      <c r="G379" s="21"/>
    </row>
    <row r="380" spans="1:7" ht="17.25" thickBot="1" x14ac:dyDescent="0.3">
      <c r="A380" s="23" t="s">
        <v>168</v>
      </c>
      <c r="B380" s="23" t="s">
        <v>171</v>
      </c>
      <c r="C380" s="23" t="s">
        <v>27</v>
      </c>
      <c r="D380" s="23" t="s">
        <v>60</v>
      </c>
      <c r="E380" s="23" t="s">
        <v>56</v>
      </c>
      <c r="F380" s="23"/>
      <c r="G380" s="21"/>
    </row>
    <row r="381" spans="1:7" ht="17.25" thickBot="1" x14ac:dyDescent="0.3">
      <c r="A381" s="43" t="s">
        <v>30</v>
      </c>
      <c r="B381" s="24" t="s">
        <v>31</v>
      </c>
      <c r="C381" s="25">
        <v>44743</v>
      </c>
      <c r="D381" s="43" t="s">
        <v>32</v>
      </c>
      <c r="E381" s="26" t="s">
        <v>33</v>
      </c>
      <c r="F381" s="27" t="s">
        <v>34</v>
      </c>
      <c r="G381" s="21"/>
    </row>
    <row r="382" spans="1:7" ht="17.25" thickBot="1" x14ac:dyDescent="0.3">
      <c r="A382" s="44"/>
      <c r="B382" s="24" t="s">
        <v>35</v>
      </c>
      <c r="C382" s="28">
        <f>IF(C381="","",IF(AND(MONTH(C381)&gt;=1,MONTH(C381)&lt;=3),1,IF(AND(MONTH(C381)&gt;=4,MONTH(C381)&lt;=6),2,IF(AND(MONTH(C381)&gt;=7,MONTH(C381)&lt;=9),3,4))))</f>
        <v>3</v>
      </c>
      <c r="D382" s="44"/>
      <c r="E382" s="26" t="s">
        <v>36</v>
      </c>
      <c r="F382" s="27" t="s">
        <v>37</v>
      </c>
      <c r="G382" s="21"/>
    </row>
    <row r="383" spans="1:7" ht="17.25" thickBot="1" x14ac:dyDescent="0.3">
      <c r="A383" s="44"/>
      <c r="B383" s="24" t="s">
        <v>38</v>
      </c>
      <c r="C383" s="25">
        <v>44750</v>
      </c>
      <c r="D383" s="44"/>
      <c r="E383" s="26" t="s">
        <v>39</v>
      </c>
      <c r="F383" s="27"/>
      <c r="G383" s="21"/>
    </row>
    <row r="384" spans="1:7" ht="17.25" thickBot="1" x14ac:dyDescent="0.3">
      <c r="A384" s="44"/>
      <c r="B384" s="24" t="s">
        <v>35</v>
      </c>
      <c r="C384" s="28">
        <f>IF(C383="","",IF(AND(MONTH(C383)&gt;=1,MONTH(C383)&lt;=3),1,IF(AND(MONTH(C383)&gt;=4,MONTH(C383)&lt;=6),2,IF(AND(MONTH(C383)&gt;=7,MONTH(C383)&lt;=9),3,4))))</f>
        <v>3</v>
      </c>
      <c r="D384" s="44"/>
      <c r="E384" s="26" t="s">
        <v>40</v>
      </c>
      <c r="F384" s="27"/>
      <c r="G384" s="21"/>
    </row>
    <row r="385" spans="1:7" ht="17.25" thickBot="1" x14ac:dyDescent="0.3">
      <c r="A385" s="21"/>
      <c r="B385" s="21"/>
      <c r="C385" s="21"/>
      <c r="D385" s="21"/>
      <c r="E385" s="21"/>
      <c r="F385" s="21"/>
      <c r="G385" s="21"/>
    </row>
    <row r="386" spans="1:7" ht="17.25" thickBot="1" x14ac:dyDescent="0.3">
      <c r="A386" s="29" t="s">
        <v>41</v>
      </c>
      <c r="B386" s="29" t="s">
        <v>42</v>
      </c>
      <c r="C386" s="29" t="s">
        <v>43</v>
      </c>
      <c r="D386" s="29" t="s">
        <v>44</v>
      </c>
      <c r="E386" s="29" t="s">
        <v>45</v>
      </c>
      <c r="F386" s="29" t="s">
        <v>46</v>
      </c>
      <c r="G386" s="21"/>
    </row>
    <row r="387" spans="1:7" ht="16.5" x14ac:dyDescent="0.25">
      <c r="A387" s="30" t="s">
        <v>170</v>
      </c>
      <c r="B387" s="31" t="str">
        <f ca="1">IFERROR(INDEX(UNSPSCDes,MATCH(INDIRECT(ADDRESS(ROW(),COLUMN()-1,4)),UNSPSCCode,0)),IF(INDIRECT(ADDRESS(ROW(),COLUMN()-1,4))="82101504","Publicidad en periódicos",""))</f>
        <v>Publicidad en periódicos</v>
      </c>
      <c r="C387" s="32" t="str">
        <f>IFERROR(VLOOKUP("UD",'[1]Informacion '!P:Q,2,FALSE),"")</f>
        <v>Unidad</v>
      </c>
      <c r="D387" s="30">
        <v>1</v>
      </c>
      <c r="E387" s="33">
        <v>1900000</v>
      </c>
      <c r="F387" s="34">
        <f ca="1">INDIRECT(ADDRESS(ROW(),COLUMN()-2,4))*INDIRECT(ADDRESS(ROW(),COLUMN()-1,4))</f>
        <v>1900000</v>
      </c>
      <c r="G387" s="21"/>
    </row>
    <row r="388" spans="1:7" ht="16.5" x14ac:dyDescent="0.25">
      <c r="A388" s="21"/>
      <c r="B388" s="21"/>
      <c r="C388" s="21"/>
      <c r="D388" s="21"/>
      <c r="E388" s="35" t="s">
        <v>48</v>
      </c>
      <c r="F388" s="36">
        <f ca="1">SUM(Table27[MONTO TOTAL ESTIMADO])</f>
        <v>1900000</v>
      </c>
      <c r="G388" s="21"/>
    </row>
    <row r="389" spans="1:7" ht="17.25" thickBot="1" x14ac:dyDescent="0.3">
      <c r="A389" s="21"/>
      <c r="B389" s="21"/>
      <c r="C389" s="21"/>
      <c r="D389" s="21"/>
      <c r="E389" s="21"/>
      <c r="F389" s="21"/>
      <c r="G389" s="21"/>
    </row>
    <row r="390" spans="1:7" ht="23.25" thickBot="1" x14ac:dyDescent="0.3">
      <c r="A390" s="22" t="s">
        <v>19</v>
      </c>
      <c r="B390" s="22" t="s">
        <v>20</v>
      </c>
      <c r="C390" s="22" t="s">
        <v>21</v>
      </c>
      <c r="D390" s="22" t="s">
        <v>22</v>
      </c>
      <c r="E390" s="22" t="s">
        <v>23</v>
      </c>
      <c r="F390" s="22" t="s">
        <v>24</v>
      </c>
      <c r="G390" s="21"/>
    </row>
    <row r="391" spans="1:7" ht="17.25" thickBot="1" x14ac:dyDescent="0.3">
      <c r="A391" s="23" t="s">
        <v>172</v>
      </c>
      <c r="B391" s="23" t="s">
        <v>173</v>
      </c>
      <c r="C391" s="23" t="s">
        <v>27</v>
      </c>
      <c r="D391" s="23" t="s">
        <v>28</v>
      </c>
      <c r="E391" s="23" t="s">
        <v>56</v>
      </c>
      <c r="F391" s="23"/>
      <c r="G391" s="21"/>
    </row>
    <row r="392" spans="1:7" ht="17.25" thickBot="1" x14ac:dyDescent="0.3">
      <c r="A392" s="43" t="s">
        <v>30</v>
      </c>
      <c r="B392" s="24" t="s">
        <v>31</v>
      </c>
      <c r="C392" s="25">
        <v>44837</v>
      </c>
      <c r="D392" s="43" t="s">
        <v>32</v>
      </c>
      <c r="E392" s="26" t="s">
        <v>33</v>
      </c>
      <c r="F392" s="27" t="s">
        <v>34</v>
      </c>
      <c r="G392" s="21"/>
    </row>
    <row r="393" spans="1:7" ht="17.25" thickBot="1" x14ac:dyDescent="0.3">
      <c r="A393" s="44"/>
      <c r="B393" s="24" t="s">
        <v>35</v>
      </c>
      <c r="C393" s="28">
        <f>IF(C392="","",IF(AND(MONTH(C392)&gt;=1,MONTH(C392)&lt;=3),1,IF(AND(MONTH(C392)&gt;=4,MONTH(C392)&lt;=6),2,IF(AND(MONTH(C392)&gt;=7,MONTH(C392)&lt;=9),3,4))))</f>
        <v>4</v>
      </c>
      <c r="D393" s="44"/>
      <c r="E393" s="26" t="s">
        <v>36</v>
      </c>
      <c r="F393" s="27" t="s">
        <v>37</v>
      </c>
      <c r="G393" s="21"/>
    </row>
    <row r="394" spans="1:7" ht="17.25" thickBot="1" x14ac:dyDescent="0.3">
      <c r="A394" s="44"/>
      <c r="B394" s="24" t="s">
        <v>38</v>
      </c>
      <c r="C394" s="25">
        <v>44845</v>
      </c>
      <c r="D394" s="44"/>
      <c r="E394" s="26" t="s">
        <v>39</v>
      </c>
      <c r="F394" s="27"/>
      <c r="G394" s="21"/>
    </row>
    <row r="395" spans="1:7" ht="17.25" thickBot="1" x14ac:dyDescent="0.3">
      <c r="A395" s="44"/>
      <c r="B395" s="24" t="s">
        <v>35</v>
      </c>
      <c r="C395" s="28">
        <f>IF(C394="","",IF(AND(MONTH(C394)&gt;=1,MONTH(C394)&lt;=3),1,IF(AND(MONTH(C394)&gt;=4,MONTH(C394)&lt;=6),2,IF(AND(MONTH(C394)&gt;=7,MONTH(C394)&lt;=9),3,4))))</f>
        <v>4</v>
      </c>
      <c r="D395" s="44"/>
      <c r="E395" s="26" t="s">
        <v>40</v>
      </c>
      <c r="F395" s="27"/>
      <c r="G395" s="21"/>
    </row>
    <row r="396" spans="1:7" ht="17.25" thickBot="1" x14ac:dyDescent="0.3">
      <c r="A396" s="21"/>
      <c r="B396" s="21"/>
      <c r="C396" s="21"/>
      <c r="D396" s="21"/>
      <c r="E396" s="21"/>
      <c r="F396" s="21"/>
      <c r="G396" s="21"/>
    </row>
    <row r="397" spans="1:7" ht="17.25" thickBot="1" x14ac:dyDescent="0.3">
      <c r="A397" s="29" t="s">
        <v>41</v>
      </c>
      <c r="B397" s="29" t="s">
        <v>42</v>
      </c>
      <c r="C397" s="29" t="s">
        <v>43</v>
      </c>
      <c r="D397" s="29" t="s">
        <v>44</v>
      </c>
      <c r="E397" s="29" t="s">
        <v>45</v>
      </c>
      <c r="F397" s="29" t="s">
        <v>46</v>
      </c>
      <c r="G397" s="21"/>
    </row>
    <row r="398" spans="1:7" ht="16.5" x14ac:dyDescent="0.25">
      <c r="A398" s="30" t="s">
        <v>174</v>
      </c>
      <c r="B398" s="31" t="str">
        <f ca="1">IFERROR(INDEX(UNSPSCDes,MATCH(INDIRECT(ADDRESS(ROW(),COLUMN()-1,4)),UNSPSCCode,0)),IF(INDIRECT(ADDRESS(ROW(),COLUMN()-1,4))="80121704","Servicios legales sobre contratos",""))</f>
        <v>Servicios legales sobre contratos</v>
      </c>
      <c r="C398" s="32" t="str">
        <f>IFERROR(VLOOKUP("UD",'[1]Informacion '!P:Q,2,FALSE),"")</f>
        <v>Unidad</v>
      </c>
      <c r="D398" s="30">
        <v>20</v>
      </c>
      <c r="E398" s="33">
        <v>13000</v>
      </c>
      <c r="F398" s="34">
        <f ca="1">INDIRECT(ADDRESS(ROW(),COLUMN()-2,4))*INDIRECT(ADDRESS(ROW(),COLUMN()-1,4))</f>
        <v>260000</v>
      </c>
      <c r="G398" s="21"/>
    </row>
    <row r="399" spans="1:7" ht="16.5" x14ac:dyDescent="0.25">
      <c r="A399" s="30" t="s">
        <v>174</v>
      </c>
      <c r="B399" s="31" t="str">
        <f ca="1">IFERROR(INDEX(UNSPSCDes,MATCH(INDIRECT(ADDRESS(ROW(),COLUMN()-1,4)),UNSPSCCode,0)),IF(INDIRECT(ADDRESS(ROW(),COLUMN()-1,4))="80121704","Servicios legales sobre contratos",""))</f>
        <v>Servicios legales sobre contratos</v>
      </c>
      <c r="C399" s="32" t="str">
        <f>IFERROR(VLOOKUP("UD",'[1]Informacion '!P:Q,2,FALSE),"")</f>
        <v>Unidad</v>
      </c>
      <c r="D399" s="30">
        <v>125</v>
      </c>
      <c r="E399" s="33">
        <v>1500</v>
      </c>
      <c r="F399" s="34">
        <f ca="1">INDIRECT(ADDRESS(ROW(),COLUMN()-2,4))*INDIRECT(ADDRESS(ROW(),COLUMN()-1,4))</f>
        <v>187500</v>
      </c>
      <c r="G399" s="21"/>
    </row>
    <row r="400" spans="1:7" ht="16.5" x14ac:dyDescent="0.25">
      <c r="A400" s="21"/>
      <c r="B400" s="21"/>
      <c r="C400" s="21"/>
      <c r="D400" s="21"/>
      <c r="E400" s="35" t="s">
        <v>48</v>
      </c>
      <c r="F400" s="36">
        <f ca="1">SUM(Table28[MONTO TOTAL ESTIMADO])</f>
        <v>447500</v>
      </c>
      <c r="G400" s="21"/>
    </row>
    <row r="401" spans="1:7" ht="17.25" thickBot="1" x14ac:dyDescent="0.3">
      <c r="A401" s="21"/>
      <c r="B401" s="21"/>
      <c r="C401" s="21"/>
      <c r="D401" s="21"/>
      <c r="E401" s="21"/>
      <c r="F401" s="21"/>
      <c r="G401" s="21"/>
    </row>
    <row r="402" spans="1:7" ht="23.25" thickBot="1" x14ac:dyDescent="0.3">
      <c r="A402" s="22" t="s">
        <v>19</v>
      </c>
      <c r="B402" s="22" t="s">
        <v>20</v>
      </c>
      <c r="C402" s="22" t="s">
        <v>21</v>
      </c>
      <c r="D402" s="22" t="s">
        <v>22</v>
      </c>
      <c r="E402" s="22" t="s">
        <v>23</v>
      </c>
      <c r="F402" s="22" t="s">
        <v>24</v>
      </c>
      <c r="G402" s="21"/>
    </row>
    <row r="403" spans="1:7" ht="17.25" thickBot="1" x14ac:dyDescent="0.3">
      <c r="A403" s="23" t="s">
        <v>175</v>
      </c>
      <c r="B403" s="23" t="s">
        <v>176</v>
      </c>
      <c r="C403" s="23" t="s">
        <v>27</v>
      </c>
      <c r="D403" s="23" t="s">
        <v>60</v>
      </c>
      <c r="E403" s="23" t="s">
        <v>56</v>
      </c>
      <c r="F403" s="23"/>
      <c r="G403" s="21"/>
    </row>
    <row r="404" spans="1:7" ht="17.25" thickBot="1" x14ac:dyDescent="0.3">
      <c r="A404" s="43" t="s">
        <v>30</v>
      </c>
      <c r="B404" s="24" t="s">
        <v>31</v>
      </c>
      <c r="C404" s="25">
        <v>44594</v>
      </c>
      <c r="D404" s="43" t="s">
        <v>32</v>
      </c>
      <c r="E404" s="26" t="s">
        <v>33</v>
      </c>
      <c r="F404" s="27" t="s">
        <v>34</v>
      </c>
      <c r="G404" s="21"/>
    </row>
    <row r="405" spans="1:7" ht="17.25" thickBot="1" x14ac:dyDescent="0.3">
      <c r="A405" s="44"/>
      <c r="B405" s="24" t="s">
        <v>35</v>
      </c>
      <c r="C405" s="28">
        <f>IF(C404="","",IF(AND(MONTH(C404)&gt;=1,MONTH(C404)&lt;=3),1,IF(AND(MONTH(C404)&gt;=4,MONTH(C404)&lt;=6),2,IF(AND(MONTH(C404)&gt;=7,MONTH(C404)&lt;=9),3,4))))</f>
        <v>1</v>
      </c>
      <c r="D405" s="44"/>
      <c r="E405" s="26" t="s">
        <v>36</v>
      </c>
      <c r="F405" s="27" t="s">
        <v>37</v>
      </c>
      <c r="G405" s="21"/>
    </row>
    <row r="406" spans="1:7" ht="17.25" thickBot="1" x14ac:dyDescent="0.3">
      <c r="A406" s="44"/>
      <c r="B406" s="24" t="s">
        <v>38</v>
      </c>
      <c r="C406" s="25">
        <v>44601</v>
      </c>
      <c r="D406" s="44"/>
      <c r="E406" s="26" t="s">
        <v>39</v>
      </c>
      <c r="F406" s="27"/>
      <c r="G406" s="21"/>
    </row>
    <row r="407" spans="1:7" ht="17.25" thickBot="1" x14ac:dyDescent="0.3">
      <c r="A407" s="44"/>
      <c r="B407" s="24" t="s">
        <v>35</v>
      </c>
      <c r="C407" s="28">
        <f>IF(C406="","",IF(AND(MONTH(C406)&gt;=1,MONTH(C406)&lt;=3),1,IF(AND(MONTH(C406)&gt;=4,MONTH(C406)&lt;=6),2,IF(AND(MONTH(C406)&gt;=7,MONTH(C406)&lt;=9),3,4))))</f>
        <v>1</v>
      </c>
      <c r="D407" s="44"/>
      <c r="E407" s="26" t="s">
        <v>40</v>
      </c>
      <c r="F407" s="27"/>
      <c r="G407" s="21"/>
    </row>
    <row r="408" spans="1:7" ht="17.25" thickBot="1" x14ac:dyDescent="0.3">
      <c r="A408" s="21"/>
      <c r="B408" s="21"/>
      <c r="C408" s="21"/>
      <c r="D408" s="21"/>
      <c r="E408" s="21"/>
      <c r="F408" s="21"/>
      <c r="G408" s="21"/>
    </row>
    <row r="409" spans="1:7" ht="17.25" thickBot="1" x14ac:dyDescent="0.3">
      <c r="A409" s="29" t="s">
        <v>41</v>
      </c>
      <c r="B409" s="29" t="s">
        <v>42</v>
      </c>
      <c r="C409" s="29" t="s">
        <v>43</v>
      </c>
      <c r="D409" s="29" t="s">
        <v>44</v>
      </c>
      <c r="E409" s="29" t="s">
        <v>45</v>
      </c>
      <c r="F409" s="29" t="s">
        <v>46</v>
      </c>
      <c r="G409" s="21"/>
    </row>
    <row r="410" spans="1:7" ht="16.5" x14ac:dyDescent="0.25">
      <c r="A410" s="30" t="s">
        <v>177</v>
      </c>
      <c r="B410" s="31" t="str">
        <f ca="1">IFERROR(INDEX(UNSPSCDes,MATCH(INDIRECT(ADDRESS(ROW(),COLUMN()-1,4)),UNSPSCCode,0)),IF(INDIRECT(ADDRESS(ROW(),COLUMN()-1,4))="43231512","Software de manejo de licencias",""))</f>
        <v>Software de manejo de licencias</v>
      </c>
      <c r="C410" s="32" t="str">
        <f>IFERROR(VLOOKUP("UD",'[1]Informacion '!P:Q,2,FALSE),"")</f>
        <v>Unidad</v>
      </c>
      <c r="D410" s="30">
        <v>310</v>
      </c>
      <c r="E410" s="33">
        <v>5500</v>
      </c>
      <c r="F410" s="34">
        <f ca="1">INDIRECT(ADDRESS(ROW(),COLUMN()-2,4))*INDIRECT(ADDRESS(ROW(),COLUMN()-1,4))</f>
        <v>1705000</v>
      </c>
      <c r="G410" s="21"/>
    </row>
    <row r="411" spans="1:7" ht="16.5" x14ac:dyDescent="0.25">
      <c r="A411" s="30" t="s">
        <v>177</v>
      </c>
      <c r="B411" s="31" t="str">
        <f ca="1">IFERROR(INDEX(UNSPSCDes,MATCH(INDIRECT(ADDRESS(ROW(),COLUMN()-1,4)),UNSPSCCode,0)),IF(INDIRECT(ADDRESS(ROW(),COLUMN()-1,4))="43231512","Software de manejo de licencias",""))</f>
        <v>Software de manejo de licencias</v>
      </c>
      <c r="C411" s="32" t="str">
        <f>IFERROR(VLOOKUP("UD",'[1]Informacion '!P:Q,2,FALSE),"")</f>
        <v>Unidad</v>
      </c>
      <c r="D411" s="30">
        <v>100</v>
      </c>
      <c r="E411" s="33">
        <v>15000</v>
      </c>
      <c r="F411" s="34">
        <f ca="1">INDIRECT(ADDRESS(ROW(),COLUMN()-2,4))*INDIRECT(ADDRESS(ROW(),COLUMN()-1,4))</f>
        <v>1500000</v>
      </c>
      <c r="G411" s="21"/>
    </row>
    <row r="412" spans="1:7" ht="16.5" x14ac:dyDescent="0.25">
      <c r="A412" s="30" t="s">
        <v>177</v>
      </c>
      <c r="B412" s="31" t="str">
        <f ca="1">IFERROR(INDEX(UNSPSCDes,MATCH(INDIRECT(ADDRESS(ROW(),COLUMN()-1,4)),UNSPSCCode,0)),IF(INDIRECT(ADDRESS(ROW(),COLUMN()-1,4))="43231512","Software de manejo de licencias",""))</f>
        <v>Software de manejo de licencias</v>
      </c>
      <c r="C412" s="32" t="str">
        <f>IFERROR(VLOOKUP("UD",'[1]Informacion '!P:Q,2,FALSE),"")</f>
        <v>Unidad</v>
      </c>
      <c r="D412" s="30">
        <v>2</v>
      </c>
      <c r="E412" s="33">
        <v>6500</v>
      </c>
      <c r="F412" s="34">
        <f ca="1">INDIRECT(ADDRESS(ROW(),COLUMN()-2,4))*INDIRECT(ADDRESS(ROW(),COLUMN()-1,4))</f>
        <v>13000</v>
      </c>
      <c r="G412" s="21"/>
    </row>
    <row r="413" spans="1:7" ht="16.5" x14ac:dyDescent="0.25">
      <c r="A413" s="21"/>
      <c r="B413" s="21"/>
      <c r="C413" s="21"/>
      <c r="D413" s="21"/>
      <c r="E413" s="35" t="s">
        <v>48</v>
      </c>
      <c r="F413" s="36">
        <f ca="1">SUM(Table29[MONTO TOTAL ESTIMADO])</f>
        <v>3218000</v>
      </c>
      <c r="G413" s="21"/>
    </row>
    <row r="414" spans="1:7" ht="17.25" thickBot="1" x14ac:dyDescent="0.3">
      <c r="A414" s="21"/>
      <c r="B414" s="21"/>
      <c r="C414" s="21"/>
      <c r="D414" s="21"/>
      <c r="E414" s="21"/>
      <c r="F414" s="21"/>
      <c r="G414" s="21"/>
    </row>
    <row r="415" spans="1:7" ht="23.25" thickBot="1" x14ac:dyDescent="0.3">
      <c r="A415" s="22" t="s">
        <v>19</v>
      </c>
      <c r="B415" s="22" t="s">
        <v>20</v>
      </c>
      <c r="C415" s="22" t="s">
        <v>21</v>
      </c>
      <c r="D415" s="22" t="s">
        <v>22</v>
      </c>
      <c r="E415" s="22" t="s">
        <v>23</v>
      </c>
      <c r="F415" s="22" t="s">
        <v>24</v>
      </c>
      <c r="G415" s="21"/>
    </row>
    <row r="416" spans="1:7" ht="17.25" thickBot="1" x14ac:dyDescent="0.3">
      <c r="A416" s="23" t="s">
        <v>178</v>
      </c>
      <c r="B416" s="23" t="s">
        <v>179</v>
      </c>
      <c r="C416" s="23" t="s">
        <v>27</v>
      </c>
      <c r="D416" s="23" t="s">
        <v>28</v>
      </c>
      <c r="E416" s="23" t="s">
        <v>56</v>
      </c>
      <c r="F416" s="23"/>
      <c r="G416" s="21"/>
    </row>
    <row r="417" spans="1:7" ht="17.25" thickBot="1" x14ac:dyDescent="0.3">
      <c r="A417" s="43" t="s">
        <v>30</v>
      </c>
      <c r="B417" s="24" t="s">
        <v>31</v>
      </c>
      <c r="C417" s="25">
        <v>44746</v>
      </c>
      <c r="D417" s="43" t="s">
        <v>32</v>
      </c>
      <c r="E417" s="26" t="s">
        <v>33</v>
      </c>
      <c r="F417" s="27" t="s">
        <v>34</v>
      </c>
      <c r="G417" s="21"/>
    </row>
    <row r="418" spans="1:7" ht="17.25" thickBot="1" x14ac:dyDescent="0.3">
      <c r="A418" s="44"/>
      <c r="B418" s="24" t="s">
        <v>35</v>
      </c>
      <c r="C418" s="28">
        <f>IF(C417="","",IF(AND(MONTH(C417)&gt;=1,MONTH(C417)&lt;=3),1,IF(AND(MONTH(C417)&gt;=4,MONTH(C417)&lt;=6),2,IF(AND(MONTH(C417)&gt;=7,MONTH(C417)&lt;=9),3,4))))</f>
        <v>3</v>
      </c>
      <c r="D418" s="44"/>
      <c r="E418" s="26" t="s">
        <v>36</v>
      </c>
      <c r="F418" s="27" t="s">
        <v>37</v>
      </c>
      <c r="G418" s="21"/>
    </row>
    <row r="419" spans="1:7" ht="17.25" thickBot="1" x14ac:dyDescent="0.3">
      <c r="A419" s="44"/>
      <c r="B419" s="24" t="s">
        <v>38</v>
      </c>
      <c r="C419" s="25">
        <v>44754</v>
      </c>
      <c r="D419" s="44"/>
      <c r="E419" s="26" t="s">
        <v>39</v>
      </c>
      <c r="F419" s="27"/>
      <c r="G419" s="21"/>
    </row>
    <row r="420" spans="1:7" ht="17.25" thickBot="1" x14ac:dyDescent="0.3">
      <c r="A420" s="44"/>
      <c r="B420" s="24" t="s">
        <v>35</v>
      </c>
      <c r="C420" s="28">
        <f>IF(C419="","",IF(AND(MONTH(C419)&gt;=1,MONTH(C419)&lt;=3),1,IF(AND(MONTH(C419)&gt;=4,MONTH(C419)&lt;=6),2,IF(AND(MONTH(C419)&gt;=7,MONTH(C419)&lt;=9),3,4))))</f>
        <v>3</v>
      </c>
      <c r="D420" s="44"/>
      <c r="E420" s="26" t="s">
        <v>40</v>
      </c>
      <c r="F420" s="27"/>
      <c r="G420" s="21"/>
    </row>
    <row r="421" spans="1:7" ht="17.25" thickBot="1" x14ac:dyDescent="0.3">
      <c r="A421" s="21"/>
      <c r="B421" s="21"/>
      <c r="C421" s="21"/>
      <c r="D421" s="21"/>
      <c r="E421" s="21"/>
      <c r="F421" s="21"/>
      <c r="G421" s="21"/>
    </row>
    <row r="422" spans="1:7" ht="17.25" thickBot="1" x14ac:dyDescent="0.3">
      <c r="A422" s="29" t="s">
        <v>41</v>
      </c>
      <c r="B422" s="29" t="s">
        <v>42</v>
      </c>
      <c r="C422" s="29" t="s">
        <v>43</v>
      </c>
      <c r="D422" s="29" t="s">
        <v>44</v>
      </c>
      <c r="E422" s="29" t="s">
        <v>45</v>
      </c>
      <c r="F422" s="29" t="s">
        <v>46</v>
      </c>
      <c r="G422" s="21"/>
    </row>
    <row r="423" spans="1:7" ht="22.5" x14ac:dyDescent="0.25">
      <c r="A423" s="30" t="s">
        <v>180</v>
      </c>
      <c r="B423" s="31" t="str">
        <f t="shared" ref="B423:B432" ca="1" si="5">IFERROR(INDEX(UNSPSCDes,MATCH(INDIRECT(ADDRESS(ROW(),COLUMN()-1,4)),UNSPSCCode,0)),IF(INDIRECT(ADDRESS(ROW(),COLUMN()-1,4))="82121507","Impresión de papelería o formularios comerciales",""))</f>
        <v>Impresión de papelería o formularios comerciales</v>
      </c>
      <c r="C423" s="32" t="str">
        <f>IFERROR(VLOOKUP("UD",'[1]Informacion '!P:Q,2,FALSE),"")</f>
        <v>Unidad</v>
      </c>
      <c r="D423" s="30">
        <v>34</v>
      </c>
      <c r="E423" s="33">
        <v>1400</v>
      </c>
      <c r="F423" s="34">
        <f t="shared" ref="F423:F432" ca="1" si="6">INDIRECT(ADDRESS(ROW(),COLUMN()-2,4))*INDIRECT(ADDRESS(ROW(),COLUMN()-1,4))</f>
        <v>47600</v>
      </c>
      <c r="G423" s="21"/>
    </row>
    <row r="424" spans="1:7" ht="22.5" x14ac:dyDescent="0.25">
      <c r="A424" s="30" t="s">
        <v>180</v>
      </c>
      <c r="B424" s="31" t="str">
        <f t="shared" ca="1" si="5"/>
        <v>Impresión de papelería o formularios comerciales</v>
      </c>
      <c r="C424" s="32" t="str">
        <f>IFERROR(VLOOKUP("UD",'[1]Informacion '!P:Q,2,FALSE),"")</f>
        <v>Unidad</v>
      </c>
      <c r="D424" s="30">
        <v>10</v>
      </c>
      <c r="E424" s="33">
        <v>2300</v>
      </c>
      <c r="F424" s="34">
        <f t="shared" ca="1" si="6"/>
        <v>23000</v>
      </c>
      <c r="G424" s="21"/>
    </row>
    <row r="425" spans="1:7" ht="22.5" x14ac:dyDescent="0.25">
      <c r="A425" s="30" t="s">
        <v>180</v>
      </c>
      <c r="B425" s="31" t="str">
        <f t="shared" ca="1" si="5"/>
        <v>Impresión de papelería o formularios comerciales</v>
      </c>
      <c r="C425" s="32" t="str">
        <f>IFERROR(VLOOKUP("UD",'[1]Informacion '!P:Q,2,FALSE),"")</f>
        <v>Unidad</v>
      </c>
      <c r="D425" s="30">
        <v>35</v>
      </c>
      <c r="E425" s="33">
        <v>1400</v>
      </c>
      <c r="F425" s="34">
        <f t="shared" ca="1" si="6"/>
        <v>49000</v>
      </c>
      <c r="G425" s="21"/>
    </row>
    <row r="426" spans="1:7" ht="22.5" x14ac:dyDescent="0.25">
      <c r="A426" s="30" t="s">
        <v>180</v>
      </c>
      <c r="B426" s="31" t="str">
        <f t="shared" ca="1" si="5"/>
        <v>Impresión de papelería o formularios comerciales</v>
      </c>
      <c r="C426" s="32" t="str">
        <f>IFERROR(VLOOKUP("UD",'[1]Informacion '!P:Q,2,FALSE),"")</f>
        <v>Unidad</v>
      </c>
      <c r="D426" s="30">
        <v>6</v>
      </c>
      <c r="E426" s="33">
        <v>2300</v>
      </c>
      <c r="F426" s="34">
        <f t="shared" ca="1" si="6"/>
        <v>13800</v>
      </c>
      <c r="G426" s="21"/>
    </row>
    <row r="427" spans="1:7" ht="22.5" x14ac:dyDescent="0.25">
      <c r="A427" s="30" t="s">
        <v>180</v>
      </c>
      <c r="B427" s="31" t="str">
        <f t="shared" ca="1" si="5"/>
        <v>Impresión de papelería o formularios comerciales</v>
      </c>
      <c r="C427" s="32" t="str">
        <f>IFERROR(VLOOKUP("UD",'[1]Informacion '!P:Q,2,FALSE),"")</f>
        <v>Unidad</v>
      </c>
      <c r="D427" s="30">
        <v>22</v>
      </c>
      <c r="E427" s="33">
        <v>1600</v>
      </c>
      <c r="F427" s="34">
        <f t="shared" ca="1" si="6"/>
        <v>35200</v>
      </c>
      <c r="G427" s="21"/>
    </row>
    <row r="428" spans="1:7" ht="22.5" x14ac:dyDescent="0.25">
      <c r="A428" s="30" t="s">
        <v>180</v>
      </c>
      <c r="B428" s="31" t="str">
        <f t="shared" ca="1" si="5"/>
        <v>Impresión de papelería o formularios comerciales</v>
      </c>
      <c r="C428" s="32" t="str">
        <f>IFERROR(VLOOKUP("UD",'[1]Informacion '!P:Q,2,FALSE),"")</f>
        <v>Unidad</v>
      </c>
      <c r="D428" s="30">
        <v>10</v>
      </c>
      <c r="E428" s="33">
        <v>2300</v>
      </c>
      <c r="F428" s="34">
        <f t="shared" ca="1" si="6"/>
        <v>23000</v>
      </c>
      <c r="G428" s="21"/>
    </row>
    <row r="429" spans="1:7" ht="22.5" x14ac:dyDescent="0.25">
      <c r="A429" s="30" t="s">
        <v>180</v>
      </c>
      <c r="B429" s="31" t="str">
        <f t="shared" ca="1" si="5"/>
        <v>Impresión de papelería o formularios comerciales</v>
      </c>
      <c r="C429" s="32" t="str">
        <f>IFERROR(VLOOKUP("UD",'[1]Informacion '!P:Q,2,FALSE),"")</f>
        <v>Unidad</v>
      </c>
      <c r="D429" s="30">
        <v>27</v>
      </c>
      <c r="E429" s="33">
        <v>1000</v>
      </c>
      <c r="F429" s="34">
        <f t="shared" ca="1" si="6"/>
        <v>27000</v>
      </c>
      <c r="G429" s="21"/>
    </row>
    <row r="430" spans="1:7" ht="22.5" x14ac:dyDescent="0.25">
      <c r="A430" s="30" t="s">
        <v>180</v>
      </c>
      <c r="B430" s="31" t="str">
        <f t="shared" ca="1" si="5"/>
        <v>Impresión de papelería o formularios comerciales</v>
      </c>
      <c r="C430" s="32" t="str">
        <f>IFERROR(VLOOKUP("UD",'[1]Informacion '!P:Q,2,FALSE),"")</f>
        <v>Unidad</v>
      </c>
      <c r="D430" s="30">
        <v>3</v>
      </c>
      <c r="E430" s="33">
        <v>1900</v>
      </c>
      <c r="F430" s="34">
        <f t="shared" ca="1" si="6"/>
        <v>5700</v>
      </c>
      <c r="G430" s="21"/>
    </row>
    <row r="431" spans="1:7" ht="22.5" x14ac:dyDescent="0.25">
      <c r="A431" s="30" t="s">
        <v>180</v>
      </c>
      <c r="B431" s="31" t="str">
        <f t="shared" ca="1" si="5"/>
        <v>Impresión de papelería o formularios comerciales</v>
      </c>
      <c r="C431" s="32" t="str">
        <f>IFERROR(VLOOKUP("UD",'[1]Informacion '!P:Q,2,FALSE),"")</f>
        <v>Unidad</v>
      </c>
      <c r="D431" s="30">
        <v>1</v>
      </c>
      <c r="E431" s="33">
        <v>2900</v>
      </c>
      <c r="F431" s="34">
        <f t="shared" ca="1" si="6"/>
        <v>2900</v>
      </c>
      <c r="G431" s="21"/>
    </row>
    <row r="432" spans="1:7" ht="22.5" x14ac:dyDescent="0.25">
      <c r="A432" s="30" t="s">
        <v>180</v>
      </c>
      <c r="B432" s="31" t="str">
        <f t="shared" ca="1" si="5"/>
        <v>Impresión de papelería o formularios comerciales</v>
      </c>
      <c r="C432" s="32" t="str">
        <f>IFERROR(VLOOKUP("RESMA",'[1]Informacion '!P:Q,2,FALSE),"")</f>
        <v>Resma</v>
      </c>
      <c r="D432" s="30">
        <v>1</v>
      </c>
      <c r="E432" s="33">
        <v>15000</v>
      </c>
      <c r="F432" s="34">
        <f t="shared" ca="1" si="6"/>
        <v>15000</v>
      </c>
      <c r="G432" s="21"/>
    </row>
    <row r="433" spans="1:7" ht="16.5" x14ac:dyDescent="0.25">
      <c r="A433" s="21"/>
      <c r="B433" s="21"/>
      <c r="C433" s="21"/>
      <c r="D433" s="21"/>
      <c r="E433" s="35" t="s">
        <v>48</v>
      </c>
      <c r="F433" s="36">
        <f ca="1">SUM(Table30[MONTO TOTAL ESTIMADO])</f>
        <v>242200</v>
      </c>
      <c r="G433" s="21"/>
    </row>
    <row r="434" spans="1:7" ht="17.25" thickBot="1" x14ac:dyDescent="0.3">
      <c r="A434" s="21"/>
      <c r="B434" s="21"/>
      <c r="C434" s="21"/>
      <c r="D434" s="21"/>
      <c r="E434" s="21"/>
      <c r="F434" s="21"/>
      <c r="G434" s="21"/>
    </row>
    <row r="435" spans="1:7" ht="23.25" thickBot="1" x14ac:dyDescent="0.3">
      <c r="A435" s="22" t="s">
        <v>19</v>
      </c>
      <c r="B435" s="22" t="s">
        <v>20</v>
      </c>
      <c r="C435" s="22" t="s">
        <v>21</v>
      </c>
      <c r="D435" s="22" t="s">
        <v>22</v>
      </c>
      <c r="E435" s="22" t="s">
        <v>23</v>
      </c>
      <c r="F435" s="22" t="s">
        <v>24</v>
      </c>
      <c r="G435" s="21"/>
    </row>
    <row r="436" spans="1:7" ht="17.25" thickBot="1" x14ac:dyDescent="0.3">
      <c r="A436" s="23" t="s">
        <v>181</v>
      </c>
      <c r="B436" s="23" t="s">
        <v>182</v>
      </c>
      <c r="C436" s="23" t="s">
        <v>27</v>
      </c>
      <c r="D436" s="23" t="s">
        <v>55</v>
      </c>
      <c r="E436" s="23" t="s">
        <v>56</v>
      </c>
      <c r="F436" s="23"/>
      <c r="G436" s="21"/>
    </row>
    <row r="437" spans="1:7" ht="17.25" thickBot="1" x14ac:dyDescent="0.3">
      <c r="A437" s="43" t="s">
        <v>30</v>
      </c>
      <c r="B437" s="24" t="s">
        <v>31</v>
      </c>
      <c r="C437" s="25">
        <v>44746</v>
      </c>
      <c r="D437" s="43" t="s">
        <v>32</v>
      </c>
      <c r="E437" s="26" t="s">
        <v>33</v>
      </c>
      <c r="F437" s="27" t="s">
        <v>34</v>
      </c>
      <c r="G437" s="21"/>
    </row>
    <row r="438" spans="1:7" ht="17.25" thickBot="1" x14ac:dyDescent="0.3">
      <c r="A438" s="44"/>
      <c r="B438" s="24" t="s">
        <v>35</v>
      </c>
      <c r="C438" s="28">
        <f>IF(C437="","",IF(AND(MONTH(C437)&gt;=1,MONTH(C437)&lt;=3),1,IF(AND(MONTH(C437)&gt;=4,MONTH(C437)&lt;=6),2,IF(AND(MONTH(C437)&gt;=7,MONTH(C437)&lt;=9),3,4))))</f>
        <v>3</v>
      </c>
      <c r="D438" s="44"/>
      <c r="E438" s="26" t="s">
        <v>36</v>
      </c>
      <c r="F438" s="27" t="s">
        <v>37</v>
      </c>
      <c r="G438" s="21"/>
    </row>
    <row r="439" spans="1:7" ht="17.25" thickBot="1" x14ac:dyDescent="0.3">
      <c r="A439" s="44"/>
      <c r="B439" s="24" t="s">
        <v>38</v>
      </c>
      <c r="C439" s="25">
        <v>44754</v>
      </c>
      <c r="D439" s="44"/>
      <c r="E439" s="26" t="s">
        <v>39</v>
      </c>
      <c r="F439" s="27"/>
      <c r="G439" s="21"/>
    </row>
    <row r="440" spans="1:7" ht="17.25" thickBot="1" x14ac:dyDescent="0.3">
      <c r="A440" s="44"/>
      <c r="B440" s="24" t="s">
        <v>35</v>
      </c>
      <c r="C440" s="28">
        <f>IF(C439="","",IF(AND(MONTH(C439)&gt;=1,MONTH(C439)&lt;=3),1,IF(AND(MONTH(C439)&gt;=4,MONTH(C439)&lt;=6),2,IF(AND(MONTH(C439)&gt;=7,MONTH(C439)&lt;=9),3,4))))</f>
        <v>3</v>
      </c>
      <c r="D440" s="44"/>
      <c r="E440" s="26" t="s">
        <v>40</v>
      </c>
      <c r="F440" s="27"/>
      <c r="G440" s="21"/>
    </row>
    <row r="441" spans="1:7" ht="17.25" thickBot="1" x14ac:dyDescent="0.3">
      <c r="A441" s="21"/>
      <c r="B441" s="21"/>
      <c r="C441" s="21"/>
      <c r="D441" s="21"/>
      <c r="E441" s="21"/>
      <c r="F441" s="21"/>
      <c r="G441" s="21"/>
    </row>
    <row r="442" spans="1:7" ht="17.25" thickBot="1" x14ac:dyDescent="0.3">
      <c r="A442" s="29" t="s">
        <v>41</v>
      </c>
      <c r="B442" s="29" t="s">
        <v>42</v>
      </c>
      <c r="C442" s="29" t="s">
        <v>43</v>
      </c>
      <c r="D442" s="29" t="s">
        <v>44</v>
      </c>
      <c r="E442" s="29" t="s">
        <v>45</v>
      </c>
      <c r="F442" s="29" t="s">
        <v>46</v>
      </c>
      <c r="G442" s="21"/>
    </row>
    <row r="443" spans="1:7" ht="22.5" x14ac:dyDescent="0.25">
      <c r="A443" s="30" t="s">
        <v>183</v>
      </c>
      <c r="B443" s="31" t="str">
        <f ca="1">IFERROR(INDEX(UNSPSCDes,MATCH(INDIRECT(ADDRESS(ROW(),COLUMN()-1,4)),UNSPSCCode,0)),IF(INDIRECT(ADDRESS(ROW(),COLUMN()-1,4))="84141602","Proveedores de servicios de tarjetas de crédito",""))</f>
        <v>Proveedores de servicios de tarjetas de crédito</v>
      </c>
      <c r="C443" s="32" t="str">
        <f>IFERROR(VLOOKUP("UD",'[1]Informacion '!P:Q,2,FALSE),"")</f>
        <v>Unidad</v>
      </c>
      <c r="D443" s="30">
        <v>1</v>
      </c>
      <c r="E443" s="33">
        <v>100000</v>
      </c>
      <c r="F443" s="34">
        <f ca="1">INDIRECT(ADDRESS(ROW(),COLUMN()-2,4))*INDIRECT(ADDRESS(ROW(),COLUMN()-1,4))</f>
        <v>100000</v>
      </c>
      <c r="G443" s="21"/>
    </row>
    <row r="444" spans="1:7" ht="16.5" x14ac:dyDescent="0.25">
      <c r="A444" s="21"/>
      <c r="B444" s="21"/>
      <c r="C444" s="21"/>
      <c r="D444" s="21"/>
      <c r="E444" s="35" t="s">
        <v>48</v>
      </c>
      <c r="F444" s="36">
        <f ca="1">SUM(Table31[MONTO TOTAL ESTIMADO])</f>
        <v>100000</v>
      </c>
      <c r="G444" s="21"/>
    </row>
    <row r="445" spans="1:7" ht="17.25" thickBot="1" x14ac:dyDescent="0.3">
      <c r="A445" s="21"/>
      <c r="B445" s="21"/>
      <c r="C445" s="21"/>
      <c r="D445" s="21"/>
      <c r="E445" s="21"/>
      <c r="F445" s="21"/>
      <c r="G445" s="21"/>
    </row>
    <row r="446" spans="1:7" ht="23.25" thickBot="1" x14ac:dyDescent="0.3">
      <c r="A446" s="22" t="s">
        <v>19</v>
      </c>
      <c r="B446" s="22" t="s">
        <v>20</v>
      </c>
      <c r="C446" s="22" t="s">
        <v>21</v>
      </c>
      <c r="D446" s="22" t="s">
        <v>22</v>
      </c>
      <c r="E446" s="22" t="s">
        <v>23</v>
      </c>
      <c r="F446" s="22" t="s">
        <v>24</v>
      </c>
      <c r="G446" s="21"/>
    </row>
    <row r="447" spans="1:7" ht="17.25" thickBot="1" x14ac:dyDescent="0.3">
      <c r="A447" s="23" t="s">
        <v>184</v>
      </c>
      <c r="B447" s="23" t="s">
        <v>185</v>
      </c>
      <c r="C447" s="23" t="s">
        <v>27</v>
      </c>
      <c r="D447" s="23" t="s">
        <v>28</v>
      </c>
      <c r="E447" s="23" t="s">
        <v>56</v>
      </c>
      <c r="F447" s="23"/>
      <c r="G447" s="21"/>
    </row>
    <row r="448" spans="1:7" ht="17.25" thickBot="1" x14ac:dyDescent="0.3">
      <c r="A448" s="43" t="s">
        <v>30</v>
      </c>
      <c r="B448" s="24" t="s">
        <v>31</v>
      </c>
      <c r="C448" s="25">
        <v>44655</v>
      </c>
      <c r="D448" s="43" t="s">
        <v>32</v>
      </c>
      <c r="E448" s="26" t="s">
        <v>33</v>
      </c>
      <c r="F448" s="27" t="s">
        <v>34</v>
      </c>
      <c r="G448" s="21"/>
    </row>
    <row r="449" spans="1:7" ht="17.25" thickBot="1" x14ac:dyDescent="0.3">
      <c r="A449" s="44"/>
      <c r="B449" s="24" t="s">
        <v>35</v>
      </c>
      <c r="C449" s="28">
        <f>IF(C448="","",IF(AND(MONTH(C448)&gt;=1,MONTH(C448)&lt;=3),1,IF(AND(MONTH(C448)&gt;=4,MONTH(C448)&lt;=6),2,IF(AND(MONTH(C448)&gt;=7,MONTH(C448)&lt;=9),3,4))))</f>
        <v>2</v>
      </c>
      <c r="D449" s="44"/>
      <c r="E449" s="26" t="s">
        <v>36</v>
      </c>
      <c r="F449" s="27" t="s">
        <v>37</v>
      </c>
      <c r="G449" s="21"/>
    </row>
    <row r="450" spans="1:7" ht="17.25" thickBot="1" x14ac:dyDescent="0.3">
      <c r="A450" s="44"/>
      <c r="B450" s="24" t="s">
        <v>38</v>
      </c>
      <c r="C450" s="25">
        <v>44663</v>
      </c>
      <c r="D450" s="44"/>
      <c r="E450" s="26" t="s">
        <v>39</v>
      </c>
      <c r="F450" s="27"/>
      <c r="G450" s="21"/>
    </row>
    <row r="451" spans="1:7" ht="17.25" thickBot="1" x14ac:dyDescent="0.3">
      <c r="A451" s="44"/>
      <c r="B451" s="24" t="s">
        <v>35</v>
      </c>
      <c r="C451" s="28">
        <f>IF(C450="","",IF(AND(MONTH(C450)&gt;=1,MONTH(C450)&lt;=3),1,IF(AND(MONTH(C450)&gt;=4,MONTH(C450)&lt;=6),2,IF(AND(MONTH(C450)&gt;=7,MONTH(C450)&lt;=9),3,4))))</f>
        <v>2</v>
      </c>
      <c r="D451" s="44"/>
      <c r="E451" s="26" t="s">
        <v>40</v>
      </c>
      <c r="F451" s="27"/>
      <c r="G451" s="21"/>
    </row>
    <row r="452" spans="1:7" ht="17.25" thickBot="1" x14ac:dyDescent="0.3">
      <c r="A452" s="21"/>
      <c r="B452" s="21"/>
      <c r="C452" s="21"/>
      <c r="D452" s="21"/>
      <c r="E452" s="21"/>
      <c r="F452" s="21"/>
      <c r="G452" s="21"/>
    </row>
    <row r="453" spans="1:7" ht="17.25" thickBot="1" x14ac:dyDescent="0.3">
      <c r="A453" s="29" t="s">
        <v>41</v>
      </c>
      <c r="B453" s="29" t="s">
        <v>42</v>
      </c>
      <c r="C453" s="29" t="s">
        <v>43</v>
      </c>
      <c r="D453" s="29" t="s">
        <v>44</v>
      </c>
      <c r="E453" s="29" t="s">
        <v>45</v>
      </c>
      <c r="F453" s="29" t="s">
        <v>46</v>
      </c>
      <c r="G453" s="21"/>
    </row>
    <row r="454" spans="1:7" ht="22.5" x14ac:dyDescent="0.25">
      <c r="A454" s="30" t="s">
        <v>186</v>
      </c>
      <c r="B454" s="31" t="str">
        <f ca="1">IFERROR(INDEX(UNSPSCDes,MATCH(INDIRECT(ADDRESS(ROW(),COLUMN()-1,4)),UNSPSCCode,0)),IF(INDIRECT(ADDRESS(ROW(),COLUMN()-1,4))="25173107","Sistemas de posicionamiento global de vehículos",""))</f>
        <v>Sistemas de posicionamiento global de vehículos</v>
      </c>
      <c r="C454" s="32" t="str">
        <f>IFERROR(VLOOKUP("UD",'[1]Informacion '!P:Q,2,FALSE),"")</f>
        <v>Unidad</v>
      </c>
      <c r="D454" s="30">
        <v>19</v>
      </c>
      <c r="E454" s="33">
        <v>7500</v>
      </c>
      <c r="F454" s="34">
        <f ca="1">INDIRECT(ADDRESS(ROW(),COLUMN()-2,4))*INDIRECT(ADDRESS(ROW(),COLUMN()-1,4))</f>
        <v>142500</v>
      </c>
      <c r="G454" s="21"/>
    </row>
    <row r="455" spans="1:7" ht="16.5" x14ac:dyDescent="0.25">
      <c r="A455" s="21"/>
      <c r="B455" s="21"/>
      <c r="C455" s="21"/>
      <c r="D455" s="21"/>
      <c r="E455" s="35" t="s">
        <v>48</v>
      </c>
      <c r="F455" s="36">
        <f ca="1">SUM(Table32[MONTO TOTAL ESTIMADO])</f>
        <v>142500</v>
      </c>
      <c r="G455" s="21"/>
    </row>
    <row r="456" spans="1:7" ht="17.25" thickBot="1" x14ac:dyDescent="0.3">
      <c r="A456" s="21"/>
      <c r="B456" s="21"/>
      <c r="C456" s="21"/>
      <c r="D456" s="21"/>
      <c r="E456" s="21"/>
      <c r="F456" s="21"/>
      <c r="G456" s="21"/>
    </row>
    <row r="457" spans="1:7" ht="23.25" thickBot="1" x14ac:dyDescent="0.3">
      <c r="A457" s="22" t="s">
        <v>19</v>
      </c>
      <c r="B457" s="22" t="s">
        <v>20</v>
      </c>
      <c r="C457" s="22" t="s">
        <v>21</v>
      </c>
      <c r="D457" s="22" t="s">
        <v>22</v>
      </c>
      <c r="E457" s="22" t="s">
        <v>23</v>
      </c>
      <c r="F457" s="22" t="s">
        <v>24</v>
      </c>
      <c r="G457" s="21"/>
    </row>
    <row r="458" spans="1:7" ht="17.25" thickBot="1" x14ac:dyDescent="0.3">
      <c r="A458" s="23" t="s">
        <v>187</v>
      </c>
      <c r="B458" s="23" t="s">
        <v>188</v>
      </c>
      <c r="C458" s="23" t="s">
        <v>54</v>
      </c>
      <c r="D458" s="23" t="s">
        <v>55</v>
      </c>
      <c r="E458" s="23" t="s">
        <v>56</v>
      </c>
      <c r="F458" s="23"/>
      <c r="G458" s="21"/>
    </row>
    <row r="459" spans="1:7" ht="17.25" thickBot="1" x14ac:dyDescent="0.3">
      <c r="A459" s="43" t="s">
        <v>30</v>
      </c>
      <c r="B459" s="24" t="s">
        <v>31</v>
      </c>
      <c r="C459" s="25">
        <v>44683</v>
      </c>
      <c r="D459" s="43" t="s">
        <v>32</v>
      </c>
      <c r="E459" s="26" t="s">
        <v>33</v>
      </c>
      <c r="F459" s="27" t="s">
        <v>34</v>
      </c>
      <c r="G459" s="21"/>
    </row>
    <row r="460" spans="1:7" ht="17.25" thickBot="1" x14ac:dyDescent="0.3">
      <c r="A460" s="44"/>
      <c r="B460" s="24" t="s">
        <v>35</v>
      </c>
      <c r="C460" s="28">
        <f>IF(C459="","",IF(AND(MONTH(C459)&gt;=1,MONTH(C459)&lt;=3),1,IF(AND(MONTH(C459)&gt;=4,MONTH(C459)&lt;=6),2,IF(AND(MONTH(C459)&gt;=7,MONTH(C459)&lt;=9),3,4))))</f>
        <v>2</v>
      </c>
      <c r="D460" s="44"/>
      <c r="E460" s="26" t="s">
        <v>36</v>
      </c>
      <c r="F460" s="27" t="s">
        <v>37</v>
      </c>
      <c r="G460" s="21"/>
    </row>
    <row r="461" spans="1:7" ht="17.25" thickBot="1" x14ac:dyDescent="0.3">
      <c r="A461" s="44"/>
      <c r="B461" s="24" t="s">
        <v>38</v>
      </c>
      <c r="C461" s="25">
        <v>44691</v>
      </c>
      <c r="D461" s="44"/>
      <c r="E461" s="26" t="s">
        <v>39</v>
      </c>
      <c r="F461" s="27"/>
      <c r="G461" s="21"/>
    </row>
    <row r="462" spans="1:7" ht="17.25" thickBot="1" x14ac:dyDescent="0.3">
      <c r="A462" s="44"/>
      <c r="B462" s="24" t="s">
        <v>35</v>
      </c>
      <c r="C462" s="28">
        <f>IF(C461="","",IF(AND(MONTH(C461)&gt;=1,MONTH(C461)&lt;=3),1,IF(AND(MONTH(C461)&gt;=4,MONTH(C461)&lt;=6),2,IF(AND(MONTH(C461)&gt;=7,MONTH(C461)&lt;=9),3,4))))</f>
        <v>2</v>
      </c>
      <c r="D462" s="44"/>
      <c r="E462" s="26" t="s">
        <v>40</v>
      </c>
      <c r="F462" s="27"/>
      <c r="G462" s="21"/>
    </row>
    <row r="463" spans="1:7" ht="17.25" thickBot="1" x14ac:dyDescent="0.3">
      <c r="A463" s="21"/>
      <c r="B463" s="21"/>
      <c r="C463" s="21"/>
      <c r="D463" s="21"/>
      <c r="E463" s="21"/>
      <c r="F463" s="21"/>
      <c r="G463" s="21"/>
    </row>
    <row r="464" spans="1:7" ht="17.25" thickBot="1" x14ac:dyDescent="0.3">
      <c r="A464" s="29" t="s">
        <v>41</v>
      </c>
      <c r="B464" s="29" t="s">
        <v>42</v>
      </c>
      <c r="C464" s="29" t="s">
        <v>43</v>
      </c>
      <c r="D464" s="29" t="s">
        <v>44</v>
      </c>
      <c r="E464" s="29" t="s">
        <v>45</v>
      </c>
      <c r="F464" s="29" t="s">
        <v>46</v>
      </c>
      <c r="G464" s="21"/>
    </row>
    <row r="465" spans="1:7" ht="16.5" x14ac:dyDescent="0.25">
      <c r="A465" s="30" t="s">
        <v>189</v>
      </c>
      <c r="B465" s="31" t="str">
        <f ca="1">IFERROR(INDEX(UNSPSCDes,MATCH(INDIRECT(ADDRESS(ROW(),COLUMN()-1,4)),UNSPSCCode,0)),IF(INDIRECT(ADDRESS(ROW(),COLUMN()-1,4))="27111515","Taladro de mano",""))</f>
        <v>Taladro de mano</v>
      </c>
      <c r="C465" s="32" t="str">
        <f>IFERROR(VLOOKUP("UD",'[1]Informacion '!P:Q,2,FALSE),"")</f>
        <v>Unidad</v>
      </c>
      <c r="D465" s="30">
        <v>1</v>
      </c>
      <c r="E465" s="33">
        <v>6000</v>
      </c>
      <c r="F465" s="34">
        <f ca="1">INDIRECT(ADDRESS(ROW(),COLUMN()-2,4))*INDIRECT(ADDRESS(ROW(),COLUMN()-1,4))</f>
        <v>6000</v>
      </c>
      <c r="G465" s="21"/>
    </row>
    <row r="466" spans="1:7" ht="16.5" x14ac:dyDescent="0.25">
      <c r="A466" s="30" t="s">
        <v>190</v>
      </c>
      <c r="B466" s="31" t="str">
        <f ca="1">IFERROR(INDEX(UNSPSCDes,MATCH(INDIRECT(ADDRESS(ROW(),COLUMN()-1,4)),UNSPSCCode,0)),IF(INDIRECT(ADDRESS(ROW(),COLUMN()-1,4))="27111701","Destornilladores",""))</f>
        <v>Destornilladores</v>
      </c>
      <c r="C466" s="32" t="str">
        <f>IFERROR(VLOOKUP("UD",'[1]Informacion '!P:Q,2,FALSE),"")</f>
        <v>Unidad</v>
      </c>
      <c r="D466" s="30">
        <v>1</v>
      </c>
      <c r="E466" s="33">
        <v>3000</v>
      </c>
      <c r="F466" s="34">
        <f ca="1">INDIRECT(ADDRESS(ROW(),COLUMN()-2,4))*INDIRECT(ADDRESS(ROW(),COLUMN()-1,4))</f>
        <v>3000</v>
      </c>
      <c r="G466" s="21"/>
    </row>
    <row r="467" spans="1:7" ht="16.5" x14ac:dyDescent="0.25">
      <c r="A467" s="30" t="s">
        <v>191</v>
      </c>
      <c r="B467" s="31" t="str">
        <f ca="1">IFERROR(INDEX(UNSPSCDes,MATCH(INDIRECT(ADDRESS(ROW(),COLUMN()-1,4)),UNSPSCCode,0)),IF(INDIRECT(ADDRESS(ROW(),COLUMN()-1,4))="27113203","Kit de herramienta para computadores",""))</f>
        <v>Kit de herramienta para computadores</v>
      </c>
      <c r="C467" s="32" t="str">
        <f>IFERROR(VLOOKUP("UD",'[1]Informacion '!P:Q,2,FALSE),"")</f>
        <v>Unidad</v>
      </c>
      <c r="D467" s="30">
        <v>1</v>
      </c>
      <c r="E467" s="33">
        <v>7000</v>
      </c>
      <c r="F467" s="34">
        <f ca="1">INDIRECT(ADDRESS(ROW(),COLUMN()-2,4))*INDIRECT(ADDRESS(ROW(),COLUMN()-1,4))</f>
        <v>7000</v>
      </c>
      <c r="G467" s="21"/>
    </row>
    <row r="468" spans="1:7" ht="16.5" x14ac:dyDescent="0.25">
      <c r="A468" s="21"/>
      <c r="B468" s="21"/>
      <c r="C468" s="21"/>
      <c r="D468" s="21"/>
      <c r="E468" s="35" t="s">
        <v>48</v>
      </c>
      <c r="F468" s="36">
        <f ca="1">SUM(Table33[MONTO TOTAL ESTIMADO])</f>
        <v>16000</v>
      </c>
      <c r="G468" s="21"/>
    </row>
    <row r="469" spans="1:7" ht="17.25" thickBot="1" x14ac:dyDescent="0.3">
      <c r="A469" s="21"/>
      <c r="B469" s="21"/>
      <c r="C469" s="21"/>
      <c r="D469" s="21"/>
      <c r="E469" s="21"/>
      <c r="F469" s="21"/>
      <c r="G469" s="21"/>
    </row>
    <row r="470" spans="1:7" ht="23.25" thickBot="1" x14ac:dyDescent="0.3">
      <c r="A470" s="22" t="s">
        <v>19</v>
      </c>
      <c r="B470" s="22" t="s">
        <v>20</v>
      </c>
      <c r="C470" s="22" t="s">
        <v>21</v>
      </c>
      <c r="D470" s="22" t="s">
        <v>22</v>
      </c>
      <c r="E470" s="22" t="s">
        <v>23</v>
      </c>
      <c r="F470" s="22" t="s">
        <v>24</v>
      </c>
      <c r="G470" s="21"/>
    </row>
    <row r="471" spans="1:7" ht="17.25" thickBot="1" x14ac:dyDescent="0.3">
      <c r="A471" s="23" t="s">
        <v>175</v>
      </c>
      <c r="B471" s="23" t="s">
        <v>192</v>
      </c>
      <c r="C471" s="23" t="s">
        <v>27</v>
      </c>
      <c r="D471" s="23" t="s">
        <v>55</v>
      </c>
      <c r="E471" s="23" t="s">
        <v>56</v>
      </c>
      <c r="F471" s="23"/>
      <c r="G471" s="21"/>
    </row>
    <row r="472" spans="1:7" ht="17.25" thickBot="1" x14ac:dyDescent="0.3">
      <c r="A472" s="43" t="s">
        <v>30</v>
      </c>
      <c r="B472" s="24" t="s">
        <v>31</v>
      </c>
      <c r="C472" s="25">
        <v>44837</v>
      </c>
      <c r="D472" s="43" t="s">
        <v>32</v>
      </c>
      <c r="E472" s="26" t="s">
        <v>33</v>
      </c>
      <c r="F472" s="27" t="s">
        <v>34</v>
      </c>
      <c r="G472" s="21"/>
    </row>
    <row r="473" spans="1:7" ht="17.25" thickBot="1" x14ac:dyDescent="0.3">
      <c r="A473" s="44"/>
      <c r="B473" s="24" t="s">
        <v>35</v>
      </c>
      <c r="C473" s="28">
        <f>IF(C472="","",IF(AND(MONTH(C472)&gt;=1,MONTH(C472)&lt;=3),1,IF(AND(MONTH(C472)&gt;=4,MONTH(C472)&lt;=6),2,IF(AND(MONTH(C472)&gt;=7,MONTH(C472)&lt;=9),3,4))))</f>
        <v>4</v>
      </c>
      <c r="D473" s="44"/>
      <c r="E473" s="26" t="s">
        <v>36</v>
      </c>
      <c r="F473" s="27" t="s">
        <v>37</v>
      </c>
      <c r="G473" s="21"/>
    </row>
    <row r="474" spans="1:7" ht="17.25" thickBot="1" x14ac:dyDescent="0.3">
      <c r="A474" s="44"/>
      <c r="B474" s="24" t="s">
        <v>38</v>
      </c>
      <c r="C474" s="25">
        <v>44845</v>
      </c>
      <c r="D474" s="44"/>
      <c r="E474" s="26" t="s">
        <v>39</v>
      </c>
      <c r="F474" s="27"/>
      <c r="G474" s="21"/>
    </row>
    <row r="475" spans="1:7" ht="17.25" thickBot="1" x14ac:dyDescent="0.3">
      <c r="A475" s="44"/>
      <c r="B475" s="24" t="s">
        <v>35</v>
      </c>
      <c r="C475" s="28">
        <f>IF(C474="","",IF(AND(MONTH(C474)&gt;=1,MONTH(C474)&lt;=3),1,IF(AND(MONTH(C474)&gt;=4,MONTH(C474)&lt;=6),2,IF(AND(MONTH(C474)&gt;=7,MONTH(C474)&lt;=9),3,4))))</f>
        <v>4</v>
      </c>
      <c r="D475" s="44"/>
      <c r="E475" s="26" t="s">
        <v>40</v>
      </c>
      <c r="F475" s="27"/>
      <c r="G475" s="21"/>
    </row>
    <row r="476" spans="1:7" ht="17.25" thickBot="1" x14ac:dyDescent="0.3">
      <c r="A476" s="21"/>
      <c r="B476" s="21"/>
      <c r="C476" s="21"/>
      <c r="D476" s="21"/>
      <c r="E476" s="21"/>
      <c r="F476" s="21"/>
      <c r="G476" s="21"/>
    </row>
    <row r="477" spans="1:7" ht="17.25" thickBot="1" x14ac:dyDescent="0.3">
      <c r="A477" s="29" t="s">
        <v>41</v>
      </c>
      <c r="B477" s="29" t="s">
        <v>42</v>
      </c>
      <c r="C477" s="29" t="s">
        <v>43</v>
      </c>
      <c r="D477" s="29" t="s">
        <v>44</v>
      </c>
      <c r="E477" s="29" t="s">
        <v>45</v>
      </c>
      <c r="F477" s="29" t="s">
        <v>46</v>
      </c>
      <c r="G477" s="21"/>
    </row>
    <row r="478" spans="1:7" ht="16.5" x14ac:dyDescent="0.25">
      <c r="A478" s="30" t="s">
        <v>177</v>
      </c>
      <c r="B478" s="31" t="str">
        <f ca="1">IFERROR(INDEX(UNSPSCDes,MATCH(INDIRECT(ADDRESS(ROW(),COLUMN()-1,4)),UNSPSCCode,0)),IF(INDIRECT(ADDRESS(ROW(),COLUMN()-1,4))="43231512","Software de manejo de licencias",""))</f>
        <v>Software de manejo de licencias</v>
      </c>
      <c r="C478" s="32" t="str">
        <f>IFERROR(VLOOKUP("UD",'[1]Informacion '!P:Q,2,FALSE),"")</f>
        <v>Unidad</v>
      </c>
      <c r="D478" s="30">
        <v>4</v>
      </c>
      <c r="E478" s="33">
        <v>28000</v>
      </c>
      <c r="F478" s="34">
        <f ca="1">INDIRECT(ADDRESS(ROW(),COLUMN()-2,4))*INDIRECT(ADDRESS(ROW(),COLUMN()-1,4))</f>
        <v>112000</v>
      </c>
      <c r="G478" s="21"/>
    </row>
    <row r="479" spans="1:7" ht="16.5" x14ac:dyDescent="0.25">
      <c r="A479" s="21"/>
      <c r="B479" s="21"/>
      <c r="C479" s="21"/>
      <c r="D479" s="21"/>
      <c r="E479" s="35" t="s">
        <v>48</v>
      </c>
      <c r="F479" s="36">
        <f ca="1">SUM(Table34[MONTO TOTAL ESTIMADO])</f>
        <v>112000</v>
      </c>
      <c r="G479" s="21"/>
    </row>
  </sheetData>
  <protectedRanges>
    <protectedRange sqref="F5:G5" name="Rango3"/>
    <protectedRange sqref="E11:E12" name="Rango2"/>
  </protectedRanges>
  <mergeCells count="72">
    <mergeCell ref="E8:F8"/>
    <mergeCell ref="A1:A4"/>
    <mergeCell ref="B2:E2"/>
    <mergeCell ref="B3:E3"/>
    <mergeCell ref="E6:F6"/>
    <mergeCell ref="E7:F7"/>
    <mergeCell ref="E9:F9"/>
    <mergeCell ref="E10:F10"/>
    <mergeCell ref="E11:F11"/>
    <mergeCell ref="E12:F12"/>
    <mergeCell ref="A17:A20"/>
    <mergeCell ref="D17:D20"/>
    <mergeCell ref="A28:A31"/>
    <mergeCell ref="D28:D31"/>
    <mergeCell ref="A40:A43"/>
    <mergeCell ref="D40:D43"/>
    <mergeCell ref="A51:A54"/>
    <mergeCell ref="D51:D54"/>
    <mergeCell ref="A62:A65"/>
    <mergeCell ref="D62:D65"/>
    <mergeCell ref="A74:A77"/>
    <mergeCell ref="D74:D77"/>
    <mergeCell ref="A85:A88"/>
    <mergeCell ref="D85:D88"/>
    <mergeCell ref="A140:A143"/>
    <mergeCell ref="D140:D143"/>
    <mergeCell ref="A166:A169"/>
    <mergeCell ref="D166:D169"/>
    <mergeCell ref="A207:A210"/>
    <mergeCell ref="D207:D210"/>
    <mergeCell ref="A219:A222"/>
    <mergeCell ref="D219:D222"/>
    <mergeCell ref="A232:A235"/>
    <mergeCell ref="D232:D235"/>
    <mergeCell ref="A245:A248"/>
    <mergeCell ref="D245:D248"/>
    <mergeCell ref="A263:A266"/>
    <mergeCell ref="D263:D266"/>
    <mergeCell ref="A276:A279"/>
    <mergeCell ref="D276:D279"/>
    <mergeCell ref="A287:A290"/>
    <mergeCell ref="D287:D290"/>
    <mergeCell ref="A298:A301"/>
    <mergeCell ref="D298:D301"/>
    <mergeCell ref="A311:A314"/>
    <mergeCell ref="D311:D314"/>
    <mergeCell ref="A323:A326"/>
    <mergeCell ref="D323:D326"/>
    <mergeCell ref="A335:A338"/>
    <mergeCell ref="D335:D338"/>
    <mergeCell ref="A348:A351"/>
    <mergeCell ref="D348:D351"/>
    <mergeCell ref="A359:A362"/>
    <mergeCell ref="D359:D362"/>
    <mergeCell ref="A370:A373"/>
    <mergeCell ref="D370:D373"/>
    <mergeCell ref="A381:A384"/>
    <mergeCell ref="D381:D384"/>
    <mergeCell ref="A392:A395"/>
    <mergeCell ref="D392:D395"/>
    <mergeCell ref="A404:A407"/>
    <mergeCell ref="D404:D407"/>
    <mergeCell ref="A417:A420"/>
    <mergeCell ref="D417:D420"/>
    <mergeCell ref="A437:A440"/>
    <mergeCell ref="D437:D440"/>
    <mergeCell ref="A448:A451"/>
    <mergeCell ref="D448:D451"/>
    <mergeCell ref="A459:A462"/>
    <mergeCell ref="D459:D462"/>
    <mergeCell ref="A472:A475"/>
    <mergeCell ref="D472:D475"/>
  </mergeCells>
  <dataValidations count="12">
    <dataValidation type="decimal" operator="greaterThan" allowBlank="1" showInputMessage="1" showErrorMessage="1" sqref="D478:E478 D465:E467 D454:E454 D443:E443 D423:E432 D410:E412 D398:E399 D387:E387 D376:E376 D365:E365 D354:E354 D341:E343 D329:E330 D317:E318 D304:E306 D293:E293 D282:E282 D269:E271 D251:E258 D238:E240 D225:E227 D213:E214 D172:E202 D146:E161 D91:E135 D80:E80 D68:E69 D57:E57 D46:E46 D34:E35 D23:E23">
      <formula1>0</formula1>
    </dataValidation>
    <dataValidation type="list" allowBlank="1" showInputMessage="1" showErrorMessage="1" sqref="C478 C465:C467 C454 C443 C423:C432 C410:C412 C398:C399 C387 C376 C365 C354 C341:C343 C329:C330 C317:C318 C304:C306 C293 C282 C269:C271 C251:C258 C238:C240 C225:C227 C213:C214 C172:C202 C146:C161 C91:C135 C80 C68:C69 C57 C46 C34:C35 C23">
      <formula1>UnidadesList</formula1>
    </dataValidation>
    <dataValidation type="whole" operator="greaterThan" allowBlank="1" showInputMessage="1" showErrorMessage="1" sqref="A478 A465:A467 A454 A443 A423:A432 A410:A412 A398:A399 A387 A376 A365 A354 A341:A343 A329:A330 A317:A318 A304:A306 A293 A282 A269:A271 A251:A258 A238:A240 A225:A227 A213:A214 A172:A202 A146:A161 A91:A135 A80 A68:A69 A57 A46 A34:A35 A23">
      <formula1>0</formula1>
    </dataValidation>
    <dataValidation type="list" allowBlank="1" showInputMessage="1" showErrorMessage="1" sqref="F475 F462 F451 F440 F420 F407 F395 F384 F373 F362 F351 F338 F326 F314 F301 F290 F279 F266 F248 F235 F222 F210 F169 F143 F88 F77 F65 F54 F43 F31 F20">
      <formula1>OFFSET(MunicipioStart,MATCH(INDIRECT(ADDRESS(ROW()-1,COLUMN(),4)),MunicipioColumn,0)-1,1,COUNTIF(MunicipioColumn,INDIRECT(ADDRESS(ROW()-1,COLUMN(),4))),1)</formula1>
    </dataValidation>
    <dataValidation type="list" allowBlank="1" showInputMessage="1" showErrorMessage="1" sqref="F474 F461 F450 F439 F419 F406 F394 F383 F372 F361 F350 F337 F325 F313 F300 F289 F278 F265 F247 F234 F221 F209 F168 F142 F87 F76 F64 F53 F42 F30 F19">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473 F460 F449 F438 F418 F405 F393 F382 F371 F360 F349 F336 F324 F312 F299 F288 F277 F264 F246 F233 F220 F208 F167 F141 F86 F75 F63 F52 F41 F29 F18">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472 F459 F448 F437 F417 F404 F392 F381 F370 F359 F348 F335 F323 F311 F298 F287 F276 F263 F245 F232 F219 F207 F166 F140 F85 F74 F62 F51 F40 F28 F17">
      <formula1>IF(INDIRECT(ADDRESS(ROW()+1,COLUMN(),4))="",RegionList,INDEX(RegionColumn,MATCH(INDIRECT(ADDRESS(ROW()+1,COLUMN(),4)),ProvinciaList,0)))</formula1>
    </dataValidation>
    <dataValidation type="date" operator="greaterThanOrEqual" allowBlank="1" showInputMessage="1" showErrorMessage="1" sqref="C474 C461 C450 C439 C419 C406 C394 C383 C372 C361 C350 C337 C325 C313 C300 C289 C278 C265 C247 C234 C221 C209 C168 C142 C87 C76 C64 C53 C42 C30 C19">
      <formula1>C17</formula1>
    </dataValidation>
    <dataValidation type="date" operator="lessThanOrEqual" allowBlank="1" showInputMessage="1" showErrorMessage="1" sqref="C472 C459 C448 C437 C417 C404 C392 C381 C370 C359 C348 C335 C323 C311 C298 C287 C276 C263 C245 C232 C219 C207 C166 C140 C85 C74 C62 C51 C40 C28 C17">
      <formula1>C19</formula1>
    </dataValidation>
    <dataValidation operator="greaterThan" allowBlank="1" showInputMessage="1" showErrorMessage="1" sqref="E10:F10"/>
    <dataValidation type="date" operator="greaterThan" allowBlank="1" showInputMessage="1" showErrorMessage="1" sqref="E12:F12">
      <formula1>36526</formula1>
    </dataValidation>
    <dataValidation type="whole" allowBlank="1" showInputMessage="1" showErrorMessage="1" sqref="E11:F11">
      <formula1>1900</formula1>
      <formula2>3000</formula2>
    </dataValidation>
  </dataValidations>
  <pageMargins left="0.7" right="0.7" top="0.75" bottom="0.75" header="0.3" footer="0.3"/>
  <pageSetup paperSize="9" scale="54" orientation="portrait" r:id="rId1"/>
  <drawing r:id="rId2"/>
  <legacyDrawing r:id="rId3"/>
  <tableParts count="31">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'[1]Informacion '!#REF!</xm:f>
          </x14:formula1>
          <xm:sqref>E471 E458 E447 E436 E416 E403 E391 E380 E369 E358 E347 E334 E322 E310 E297 E286 E275 E262 E244 E231 E218 E206 E165 E139 E84 E73 E61 E50 E39 E27 E16</xm:sqref>
        </x14:dataValidation>
        <x14:dataValidation type="list" allowBlank="1" showInputMessage="1" showErrorMessage="1">
          <x14:formula1>
            <xm:f>'[1]Informacion '!#REF!</xm:f>
          </x14:formula1>
          <xm:sqref>D471 D458 D447 D436 D416 D403 D391 D380 D369 D358 D347 D334 D322 D310 D297 D286 D275 D262 D244 D231 D218 D206 D165 D139 D84 D73 D61 D50 D39 D27 D16</xm:sqref>
        </x14:dataValidation>
        <x14:dataValidation type="list" allowBlank="1" showInputMessage="1" showErrorMessage="1">
          <x14:formula1>
            <xm:f>'[1]Informacion '!#REF!</xm:f>
          </x14:formula1>
          <xm:sqref>C471 C458 C447 C436 C416 C403 C391 C380 C369 C358 C347 C334 C322 C310 C297 C286 C275 C262 C244 C231 C218 C206 C165 C139 C84 C73 C61 C50 C39 C27 C16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Hoja1</vt:lpstr>
      <vt:lpstr>Hoja1!Área_de_impresión</vt:lpstr>
      <vt:lpstr>TotalEstColumnName</vt:lpstr>
      <vt:lpstr>TotalEstColumnValue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Deledda Samboy Trinidad</dc:creator>
  <cp:lastModifiedBy>Nahomy Willmore</cp:lastModifiedBy>
  <dcterms:created xsi:type="dcterms:W3CDTF">2021-12-14T19:59:40Z</dcterms:created>
  <dcterms:modified xsi:type="dcterms:W3CDTF">2021-12-14T20:08:29Z</dcterms:modified>
</cp:coreProperties>
</file>